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Boland\Documents\Budgets\2023-24 Town Council\"/>
    </mc:Choice>
  </mc:AlternateContent>
  <bookViews>
    <workbookView xWindow="0" yWindow="0" windowWidth="19200" windowHeight="8895" tabRatio="596" activeTab="3"/>
  </bookViews>
  <sheets>
    <sheet name="TAX RATE (all)" sheetId="66" r:id="rId1"/>
    <sheet name="TAX RATE (op budget)" sheetId="52" r:id="rId2"/>
    <sheet name="TAX RATE (crf)" sheetId="67" r:id="rId3"/>
    <sheet name="SUMMARY BY FUND" sheetId="38" r:id="rId4"/>
    <sheet name="CRF" sheetId="55" r:id="rId5"/>
    <sheet name="crf funding" sheetId="65" r:id="rId6"/>
    <sheet name="revenue  (2)" sheetId="59" r:id="rId7"/>
    <sheet name="revenue " sheetId="54" r:id="rId8"/>
    <sheet name="01-gen gov" sheetId="1" r:id="rId9"/>
    <sheet name="02-assessing" sheetId="2" r:id="rId10"/>
    <sheet name="03-fire" sheetId="3" r:id="rId11"/>
    <sheet name="04-police" sheetId="4" r:id="rId12"/>
    <sheet name="05-comm" sheetId="5" r:id="rId13"/>
    <sheet name="06-code enforcement" sheetId="53" r:id="rId14"/>
    <sheet name="07-pub works" sheetId="6" r:id="rId15"/>
    <sheet name="08-highway" sheetId="7" r:id="rId16"/>
    <sheet name="09-solid waste" sheetId="8" r:id="rId17"/>
    <sheet name="13-parks &amp; rec" sheetId="11" r:id="rId18"/>
    <sheet name="15-library" sheetId="12" r:id="rId19"/>
    <sheet name="16-equip mntc" sheetId="13" r:id="rId20"/>
    <sheet name="17-bldg &amp; grounds" sheetId="14" r:id="rId21"/>
    <sheet name="21-comm dev" sheetId="15" r:id="rId22"/>
    <sheet name="24-tax coll" sheetId="16" r:id="rId23"/>
    <sheet name="25-welfare" sheetId="17" r:id="rId24"/>
    <sheet name="27-debt svc" sheetId="18" r:id="rId25"/>
    <sheet name="10-wastewater" sheetId="9" r:id="rId26"/>
    <sheet name="32-Media" sheetId="37" r:id="rId27"/>
    <sheet name="33-Fire Protection -other" sheetId="36" r:id="rId28"/>
    <sheet name="43- WWTF capital Project" sheetId="63" r:id="rId29"/>
    <sheet name="45- capital Projects fund" sheetId="61" r:id="rId30"/>
    <sheet name="-other SPECIAL REVENUE FUNDING" sheetId="50" r:id="rId31"/>
    <sheet name="Revolving Fund" sheetId="60" r:id="rId32"/>
    <sheet name="Sheet1" sheetId="64" r:id="rId33"/>
    <sheet name="Charts" sheetId="68" r:id="rId34"/>
  </sheets>
  <externalReferences>
    <externalReference r:id="rId35"/>
    <externalReference r:id="rId36"/>
    <externalReference r:id="rId37"/>
    <externalReference r:id="rId38"/>
    <externalReference r:id="rId39"/>
    <externalReference r:id="rId40"/>
  </externalReferences>
  <definedNames>
    <definedName name="_bos38" localSheetId="28">'15-library'!#REF!</definedName>
    <definedName name="_bos38" localSheetId="29">'15-library'!#REF!</definedName>
    <definedName name="_bos38" localSheetId="4">'[1]15-library'!#REF!</definedName>
    <definedName name="_bos38" localSheetId="7">'[2]15-library'!#REF!</definedName>
    <definedName name="_bos38" localSheetId="6">'[2]15-library'!#REF!</definedName>
    <definedName name="_bos38" localSheetId="31">'15-library'!#REF!</definedName>
    <definedName name="_bos38" localSheetId="0">#REF!</definedName>
    <definedName name="_bos38" localSheetId="2">#REF!</definedName>
    <definedName name="_bos38" localSheetId="1">#REF!</definedName>
    <definedName name="_mgr38" localSheetId="28">'15-library'!#REF!</definedName>
    <definedName name="_mgr38" localSheetId="29">'15-library'!#REF!</definedName>
    <definedName name="_mgr38" localSheetId="4">'[1]15-library'!#REF!</definedName>
    <definedName name="_mgr38" localSheetId="7">'[2]15-library'!#REF!</definedName>
    <definedName name="_mgr38" localSheetId="6">'[2]15-library'!#REF!</definedName>
    <definedName name="_mgr38" localSheetId="31">'15-library'!#REF!</definedName>
    <definedName name="_mgr38" localSheetId="0">#REF!</definedName>
    <definedName name="_mgr38" localSheetId="2">#REF!</definedName>
    <definedName name="_mgr38" localSheetId="1">#REF!</definedName>
    <definedName name="_Order1" hidden="1">255</definedName>
    <definedName name="_Order2" hidden="1">255</definedName>
    <definedName name="aaa" localSheetId="28">'[3]15-library'!#REF!</definedName>
    <definedName name="aaa" localSheetId="29">'[3]15-library'!#REF!</definedName>
    <definedName name="aaa" localSheetId="6">'[3]15-library'!#REF!</definedName>
    <definedName name="aaa" localSheetId="31">'[3]15-library'!#REF!</definedName>
    <definedName name="aaa" localSheetId="0">'[3]15-library'!#REF!</definedName>
    <definedName name="aaa" localSheetId="2">'[3]15-library'!#REF!</definedName>
    <definedName name="aaa">'[3]15-library'!#REF!</definedName>
    <definedName name="actual" localSheetId="28">'15-library'!#REF!</definedName>
    <definedName name="actual" localSheetId="29">'15-library'!#REF!</definedName>
    <definedName name="actual" localSheetId="4">'[1]15-library'!#REF!</definedName>
    <definedName name="actual" localSheetId="7">'[2]15-library'!#REF!</definedName>
    <definedName name="actual" localSheetId="6">'[2]15-library'!#REF!</definedName>
    <definedName name="actual" localSheetId="31">'15-library'!#REF!</definedName>
    <definedName name="actual" localSheetId="0">#REF!</definedName>
    <definedName name="actual" localSheetId="2">#REF!</definedName>
    <definedName name="actual" localSheetId="1">#REF!</definedName>
    <definedName name="actual38" localSheetId="28">'15-library'!#REF!</definedName>
    <definedName name="actual38" localSheetId="29">'15-library'!#REF!</definedName>
    <definedName name="actual38" localSheetId="4">'[1]15-library'!#REF!</definedName>
    <definedName name="actual38" localSheetId="7">'[2]15-library'!#REF!</definedName>
    <definedName name="actual38" localSheetId="6">'[2]15-library'!#REF!</definedName>
    <definedName name="actual38" localSheetId="31">'15-library'!#REF!</definedName>
    <definedName name="actual38" localSheetId="0">#REF!</definedName>
    <definedName name="actual38" localSheetId="2">#REF!</definedName>
    <definedName name="actual38" localSheetId="1">#REF!</definedName>
    <definedName name="bbb" localSheetId="28">'[3]15-library'!#REF!</definedName>
    <definedName name="bbb" localSheetId="29">'[3]15-library'!#REF!</definedName>
    <definedName name="bbb" localSheetId="6">'[3]15-library'!#REF!</definedName>
    <definedName name="bbb" localSheetId="31">'[3]15-library'!#REF!</definedName>
    <definedName name="bbb" localSheetId="0">'[3]15-library'!#REF!</definedName>
    <definedName name="bbb" localSheetId="2">'[3]15-library'!#REF!</definedName>
    <definedName name="bbb">'[3]15-library'!#REF!</definedName>
    <definedName name="bos" localSheetId="28">'15-library'!#REF!</definedName>
    <definedName name="bos" localSheetId="29">'15-library'!#REF!</definedName>
    <definedName name="bos" localSheetId="4">'[1]15-library'!#REF!</definedName>
    <definedName name="bos" localSheetId="7">'[2]15-library'!#REF!</definedName>
    <definedName name="bos" localSheetId="6">'[2]15-library'!#REF!</definedName>
    <definedName name="bos" localSheetId="31">'15-library'!#REF!</definedName>
    <definedName name="bos" localSheetId="0">#REF!</definedName>
    <definedName name="bos" localSheetId="2">#REF!</definedName>
    <definedName name="bos" localSheetId="1">#REF!</definedName>
    <definedName name="budcom" localSheetId="28">'15-library'!#REF!</definedName>
    <definedName name="budcom" localSheetId="29">'15-library'!#REF!</definedName>
    <definedName name="budcom" localSheetId="4">'[1]15-library'!#REF!</definedName>
    <definedName name="budcom" localSheetId="7">'[2]15-library'!#REF!</definedName>
    <definedName name="budcom" localSheetId="6">'[2]15-library'!#REF!</definedName>
    <definedName name="budcom" localSheetId="31">'15-library'!#REF!</definedName>
    <definedName name="budcom" localSheetId="0">#REF!</definedName>
    <definedName name="budcom" localSheetId="2">#REF!</definedName>
    <definedName name="budcom" localSheetId="1">#REF!</definedName>
    <definedName name="budget" localSheetId="28">'15-library'!#REF!</definedName>
    <definedName name="budget" localSheetId="29">'15-library'!#REF!</definedName>
    <definedName name="budget" localSheetId="4">'[1]15-library'!#REF!</definedName>
    <definedName name="budget" localSheetId="7">'[2]15-library'!#REF!</definedName>
    <definedName name="budget" localSheetId="6">'[2]15-library'!#REF!</definedName>
    <definedName name="budget" localSheetId="31">'15-library'!#REF!</definedName>
    <definedName name="budget" localSheetId="0">#REF!</definedName>
    <definedName name="budget" localSheetId="2">#REF!</definedName>
    <definedName name="budget" localSheetId="1">#REF!</definedName>
    <definedName name="budget38" localSheetId="28">'15-library'!#REF!</definedName>
    <definedName name="budget38" localSheetId="29">'15-library'!#REF!</definedName>
    <definedName name="budget38" localSheetId="4">'[1]15-library'!#REF!</definedName>
    <definedName name="budget38" localSheetId="7">'[2]15-library'!#REF!</definedName>
    <definedName name="budget38" localSheetId="6">'[2]15-library'!#REF!</definedName>
    <definedName name="budget38" localSheetId="31">'15-library'!#REF!</definedName>
    <definedName name="budget38" localSheetId="0">#REF!</definedName>
    <definedName name="budget38" localSheetId="2">#REF!</definedName>
    <definedName name="budget38" localSheetId="1">#REF!</definedName>
    <definedName name="ccc" localSheetId="28">'[3]15-library'!#REF!</definedName>
    <definedName name="ccc" localSheetId="29">'[3]15-library'!#REF!</definedName>
    <definedName name="ccc" localSheetId="6">'[3]15-library'!#REF!</definedName>
    <definedName name="ccc" localSheetId="31">'[3]15-library'!#REF!</definedName>
    <definedName name="ccc" localSheetId="0">'[3]15-library'!#REF!</definedName>
    <definedName name="ccc" localSheetId="2">'[3]15-library'!#REF!</definedName>
    <definedName name="ccc">'[3]15-library'!#REF!</definedName>
    <definedName name="ddd" localSheetId="28">'[3]15-library'!#REF!</definedName>
    <definedName name="ddd" localSheetId="29">'[3]15-library'!#REF!</definedName>
    <definedName name="ddd" localSheetId="6">'[3]15-library'!#REF!</definedName>
    <definedName name="ddd" localSheetId="31">'[3]15-library'!#REF!</definedName>
    <definedName name="ddd" localSheetId="0">'[3]15-library'!#REF!</definedName>
    <definedName name="ddd" localSheetId="2">'[3]15-library'!#REF!</definedName>
    <definedName name="ddd">'[3]15-library'!#REF!</definedName>
    <definedName name="dept" localSheetId="28">'15-library'!#REF!</definedName>
    <definedName name="dept" localSheetId="29">'15-library'!#REF!</definedName>
    <definedName name="dept" localSheetId="4">'[1]15-library'!#REF!</definedName>
    <definedName name="dept" localSheetId="7">'[2]15-library'!#REF!</definedName>
    <definedName name="dept" localSheetId="6">'[2]15-library'!#REF!</definedName>
    <definedName name="dept" localSheetId="31">'15-library'!#REF!</definedName>
    <definedName name="dept" localSheetId="0">#REF!</definedName>
    <definedName name="dept" localSheetId="2">#REF!</definedName>
    <definedName name="dept" localSheetId="1">#REF!</definedName>
    <definedName name="dept22" localSheetId="28">'15-library'!#REF!</definedName>
    <definedName name="dept22" localSheetId="29">'15-library'!#REF!</definedName>
    <definedName name="dept22" localSheetId="0">'15-library'!#REF!</definedName>
    <definedName name="dept22" localSheetId="2">'15-library'!#REF!</definedName>
    <definedName name="dept22">'15-library'!#REF!</definedName>
    <definedName name="dept38" localSheetId="28">'15-library'!#REF!</definedName>
    <definedName name="dept38" localSheetId="29">'15-library'!#REF!</definedName>
    <definedName name="dept38" localSheetId="4">'[1]15-library'!#REF!</definedName>
    <definedName name="dept38" localSheetId="7">'[2]15-library'!#REF!</definedName>
    <definedName name="dept38" localSheetId="6">'[2]15-library'!#REF!</definedName>
    <definedName name="dept38" localSheetId="31">'15-library'!#REF!</definedName>
    <definedName name="dept38" localSheetId="0">#REF!</definedName>
    <definedName name="dept38" localSheetId="2">#REF!</definedName>
    <definedName name="dept38" localSheetId="1">#REF!</definedName>
    <definedName name="eee" localSheetId="28">'[3]15-library'!#REF!</definedName>
    <definedName name="eee" localSheetId="29">'[3]15-library'!#REF!</definedName>
    <definedName name="eee" localSheetId="6">'[3]15-library'!#REF!</definedName>
    <definedName name="eee" localSheetId="31">'[3]15-library'!#REF!</definedName>
    <definedName name="eee" localSheetId="0">'[3]15-library'!#REF!</definedName>
    <definedName name="eee" localSheetId="2">'[3]15-library'!#REF!</definedName>
    <definedName name="eee">'[3]15-library'!#REF!</definedName>
    <definedName name="fff" localSheetId="28">'[3]15-library'!#REF!</definedName>
    <definedName name="fff" localSheetId="29">'[3]15-library'!#REF!</definedName>
    <definedName name="fff" localSheetId="6">'[3]15-library'!#REF!</definedName>
    <definedName name="fff" localSheetId="31">'[3]15-library'!#REF!</definedName>
    <definedName name="fff" localSheetId="0">'[3]15-library'!#REF!</definedName>
    <definedName name="fff" localSheetId="2">'[3]15-library'!#REF!</definedName>
    <definedName name="fff">'[3]15-library'!#REF!</definedName>
    <definedName name="ggg" localSheetId="28">'[3]15-library'!#REF!</definedName>
    <definedName name="ggg" localSheetId="29">'[3]15-library'!#REF!</definedName>
    <definedName name="ggg" localSheetId="6">'[3]15-library'!#REF!</definedName>
    <definedName name="ggg" localSheetId="31">'[3]15-library'!#REF!</definedName>
    <definedName name="ggg" localSheetId="0">'[3]15-library'!#REF!</definedName>
    <definedName name="ggg" localSheetId="2">'[3]15-library'!#REF!</definedName>
    <definedName name="ggg">'[3]15-library'!#REF!</definedName>
    <definedName name="help" localSheetId="28">'[4]15-library'!#REF!</definedName>
    <definedName name="help" localSheetId="29">'[4]15-library'!#REF!</definedName>
    <definedName name="help" localSheetId="6">'[4]15-library'!#REF!</definedName>
    <definedName name="help" localSheetId="31">'[4]15-library'!#REF!</definedName>
    <definedName name="help" localSheetId="0">'[4]15-library'!#REF!</definedName>
    <definedName name="help" localSheetId="2">'[4]15-library'!#REF!</definedName>
    <definedName name="help">'[4]15-library'!#REF!</definedName>
    <definedName name="hhh" localSheetId="28">'[3]15-library'!#REF!</definedName>
    <definedName name="hhh" localSheetId="29">'[3]15-library'!#REF!</definedName>
    <definedName name="hhh" localSheetId="6">'[3]15-library'!#REF!</definedName>
    <definedName name="hhh" localSheetId="31">'[3]15-library'!#REF!</definedName>
    <definedName name="hhh" localSheetId="0">'[3]15-library'!#REF!</definedName>
    <definedName name="hhh" localSheetId="2">'[3]15-library'!#REF!</definedName>
    <definedName name="hhh">'[3]15-library'!#REF!</definedName>
    <definedName name="iii" localSheetId="28">'[3]15-library'!#REF!</definedName>
    <definedName name="iii" localSheetId="29">'[3]15-library'!#REF!</definedName>
    <definedName name="iii" localSheetId="6">'[3]15-library'!#REF!</definedName>
    <definedName name="iii" localSheetId="31">'[3]15-library'!#REF!</definedName>
    <definedName name="iii" localSheetId="0">'[3]15-library'!#REF!</definedName>
    <definedName name="iii" localSheetId="2">'[3]15-library'!#REF!</definedName>
    <definedName name="iii">'[3]15-library'!#REF!</definedName>
    <definedName name="jjj" localSheetId="28">'[3]15-library'!#REF!</definedName>
    <definedName name="jjj" localSheetId="29">'[3]15-library'!#REF!</definedName>
    <definedName name="jjj" localSheetId="6">'[3]15-library'!#REF!</definedName>
    <definedName name="jjj" localSheetId="31">'[3]15-library'!#REF!</definedName>
    <definedName name="jjj" localSheetId="0">'[3]15-library'!#REF!</definedName>
    <definedName name="jjj" localSheetId="2">'[3]15-library'!#REF!</definedName>
    <definedName name="jjj">'[3]15-library'!#REF!</definedName>
    <definedName name="meet" localSheetId="28">'[5]15-library'!#REF!</definedName>
    <definedName name="meet" localSheetId="29">'[5]15-library'!#REF!</definedName>
    <definedName name="meet" localSheetId="6">'[5]15-library'!#REF!</definedName>
    <definedName name="meet" localSheetId="31">'[5]15-library'!#REF!</definedName>
    <definedName name="meet" localSheetId="0">'[5]15-library'!#REF!</definedName>
    <definedName name="meet" localSheetId="2">'[5]15-library'!#REF!</definedName>
    <definedName name="meet">'[5]15-library'!#REF!</definedName>
    <definedName name="meeting" localSheetId="28">'15-library'!#REF!</definedName>
    <definedName name="meeting" localSheetId="29">'15-library'!#REF!</definedName>
    <definedName name="meeting" localSheetId="4">'[1]15-library'!#REF!</definedName>
    <definedName name="meeting" localSheetId="7">'[2]15-library'!#REF!</definedName>
    <definedName name="meeting" localSheetId="6">'[2]15-library'!#REF!</definedName>
    <definedName name="meeting" localSheetId="31">'15-library'!#REF!</definedName>
    <definedName name="meeting" localSheetId="0">#REF!</definedName>
    <definedName name="meeting" localSheetId="2">#REF!</definedName>
    <definedName name="meeting" localSheetId="1">#REF!</definedName>
    <definedName name="mgr" localSheetId="28">'15-library'!#REF!</definedName>
    <definedName name="mgr" localSheetId="29">'15-library'!#REF!</definedName>
    <definedName name="mgr" localSheetId="4">'[1]15-library'!#REF!</definedName>
    <definedName name="mgr" localSheetId="7">'[2]15-library'!#REF!</definedName>
    <definedName name="mgr" localSheetId="6">'[2]15-library'!#REF!</definedName>
    <definedName name="mgr" localSheetId="31">'15-library'!#REF!</definedName>
    <definedName name="mgr" localSheetId="0">#REF!</definedName>
    <definedName name="mgr" localSheetId="2">#REF!</definedName>
    <definedName name="mgr" localSheetId="1">#REF!</definedName>
    <definedName name="ooop" localSheetId="28">'[4]15-library'!#REF!</definedName>
    <definedName name="ooop" localSheetId="29">'[4]15-library'!#REF!</definedName>
    <definedName name="ooop" localSheetId="6">'[4]15-library'!#REF!</definedName>
    <definedName name="ooop" localSheetId="31">'[4]15-library'!#REF!</definedName>
    <definedName name="ooop" localSheetId="0">'[4]15-library'!#REF!</definedName>
    <definedName name="ooop" localSheetId="2">'[4]15-library'!#REF!</definedName>
    <definedName name="ooop">'[4]15-library'!#REF!</definedName>
    <definedName name="ooou" localSheetId="28">'[4]15-library'!#REF!</definedName>
    <definedName name="ooou" localSheetId="29">'[4]15-library'!#REF!</definedName>
    <definedName name="ooou" localSheetId="6">'[4]15-library'!#REF!</definedName>
    <definedName name="ooou" localSheetId="31">'[4]15-library'!#REF!</definedName>
    <definedName name="ooou" localSheetId="0">'[4]15-library'!#REF!</definedName>
    <definedName name="ooou" localSheetId="2">'[4]15-library'!#REF!</definedName>
    <definedName name="ooou">'[4]15-library'!#REF!</definedName>
    <definedName name="_xlnm.Print_Area" localSheetId="8">'01-gen gov'!$A$1:$J$284</definedName>
    <definedName name="_xlnm.Print_Area" localSheetId="9">'02-assessing'!$A$1:$J$125</definedName>
    <definedName name="_xlnm.Print_Area" localSheetId="10">'03-fire'!$A$1:$J$381</definedName>
    <definedName name="_xlnm.Print_Area" localSheetId="11">'04-police'!$A$1:$J$313</definedName>
    <definedName name="_xlnm.Print_Area" localSheetId="12">'05-comm'!$A$1:$J$160</definedName>
    <definedName name="_xlnm.Print_Area" localSheetId="13">'06-code enforcement'!$A$1:$J$155</definedName>
    <definedName name="_xlnm.Print_Area" localSheetId="14">'07-pub works'!$A$1:$J$147</definedName>
    <definedName name="_xlnm.Print_Area" localSheetId="15">'08-highway'!$A$1:$J$363</definedName>
    <definedName name="_xlnm.Print_Area" localSheetId="16">'09-solid waste'!$A$1:$J$231</definedName>
    <definedName name="_xlnm.Print_Area" localSheetId="25">'10-wastewater'!$A$1:$J$347</definedName>
    <definedName name="_xlnm.Print_Area" localSheetId="17">'13-parks &amp; rec'!$A$1:$J$258</definedName>
    <definedName name="_xlnm.Print_Area" localSheetId="18">'15-library'!$A$1:$J$258</definedName>
    <definedName name="_xlnm.Print_Area" localSheetId="19">'16-equip mntc'!$A$1:$J$133</definedName>
    <definedName name="_xlnm.Print_Area" localSheetId="20">'17-bldg &amp; grounds'!$A$1:$J$155</definedName>
    <definedName name="_xlnm.Print_Area" localSheetId="21">'21-comm dev'!$A$1:$J$162</definedName>
    <definedName name="_xlnm.Print_Area" localSheetId="22">'24-tax coll'!$A$1:$J$156</definedName>
    <definedName name="_xlnm.Print_Area" localSheetId="23">'25-welfare'!$A$1:$K$97</definedName>
    <definedName name="_xlnm.Print_Area" localSheetId="24">'27-debt svc'!$A$1:$I$66</definedName>
    <definedName name="_xlnm.Print_Area" localSheetId="26">'32-Media'!$A$1:$J$115</definedName>
    <definedName name="_xlnm.Print_Area" localSheetId="27">'33-Fire Protection -other'!$A$1:$J$18</definedName>
    <definedName name="_xlnm.Print_Area" localSheetId="28">'43- WWTF capital Project'!$A$1:$J$18</definedName>
    <definedName name="_xlnm.Print_Area" localSheetId="29">'45- capital Projects fund'!$A$1:$J$18</definedName>
    <definedName name="_xlnm.Print_Area" localSheetId="4">CRF!$A$1:$AH$38</definedName>
    <definedName name="_xlnm.Print_Area" localSheetId="30">'-other SPECIAL REVENUE FUNDING'!$A$1:$J$19</definedName>
    <definedName name="_xlnm.Print_Area" localSheetId="7">'revenue '!$A$5:$AA$242</definedName>
    <definedName name="_xlnm.Print_Area" localSheetId="6">'revenue  (2)'!$A$5:$I$79</definedName>
    <definedName name="_xlnm.Print_Area" localSheetId="31">'Revolving Fund'!$A$1:$J$164</definedName>
    <definedName name="_xlnm.Print_Area" localSheetId="3">'SUMMARY BY FUND'!$A$1:$J$54</definedName>
    <definedName name="_xlnm.Print_Area" localSheetId="0">'TAX RATE (all)'!$A$1:$D$42</definedName>
    <definedName name="_xlnm.Print_Area" localSheetId="2">'TAX RATE (crf)'!$A$1:$D$43</definedName>
    <definedName name="_xlnm.Print_Area" localSheetId="1">'TAX RATE (op budget)'!$A$1:$D$42</definedName>
    <definedName name="_xlnm.Print_Titles" localSheetId="8">'01-gen gov'!$1:$5</definedName>
    <definedName name="_xlnm.Print_Titles" localSheetId="9">'02-assessing'!$1:$5</definedName>
    <definedName name="_xlnm.Print_Titles" localSheetId="10">'03-fire'!$1:$5</definedName>
    <definedName name="_xlnm.Print_Titles" localSheetId="11">'04-police'!$1:$5</definedName>
    <definedName name="_xlnm.Print_Titles" localSheetId="12">'05-comm'!$1:$5</definedName>
    <definedName name="_xlnm.Print_Titles" localSheetId="13">'06-code enforcement'!$1:$5</definedName>
    <definedName name="_xlnm.Print_Titles" localSheetId="14">'07-pub works'!$1:$5</definedName>
    <definedName name="_xlnm.Print_Titles" localSheetId="15">'08-highway'!$1:$5</definedName>
    <definedName name="_xlnm.Print_Titles" localSheetId="16">'09-solid waste'!$1:$5</definedName>
    <definedName name="_xlnm.Print_Titles" localSheetId="25">'10-wastewater'!$1:$5</definedName>
    <definedName name="_xlnm.Print_Titles" localSheetId="17">'13-parks &amp; rec'!$1:$5</definedName>
    <definedName name="_xlnm.Print_Titles" localSheetId="18">'15-library'!$1:$5</definedName>
    <definedName name="_xlnm.Print_Titles" localSheetId="19">'16-equip mntc'!$1:$5</definedName>
    <definedName name="_xlnm.Print_Titles" localSheetId="20">'17-bldg &amp; grounds'!$1:$5</definedName>
    <definedName name="_xlnm.Print_Titles" localSheetId="21">'21-comm dev'!$1:$5</definedName>
    <definedName name="_xlnm.Print_Titles" localSheetId="22">'24-tax coll'!$1:$5</definedName>
    <definedName name="_xlnm.Print_Titles" localSheetId="23">'25-welfare'!$1:$5</definedName>
    <definedName name="_xlnm.Print_Titles" localSheetId="26">'32-Media'!$1:$5</definedName>
    <definedName name="_xlnm.Print_Titles" localSheetId="27">'33-Fire Protection -other'!$1:$4</definedName>
    <definedName name="_xlnm.Print_Titles" localSheetId="28">'43- WWTF capital Project'!$1:$4</definedName>
    <definedName name="_xlnm.Print_Titles" localSheetId="29">'45- capital Projects fund'!$1:$4</definedName>
    <definedName name="_xlnm.Print_Titles" localSheetId="30">'-other SPECIAL REVENUE FUNDING'!$1:$6</definedName>
    <definedName name="_xlnm.Print_Titles" localSheetId="31">'Revolving Fund'!$1:$7</definedName>
    <definedName name="_xlnm.Print_Titles" localSheetId="32">Sheet1!$1:$5</definedName>
    <definedName name="pwq" localSheetId="28">'[4]15-library'!#REF!</definedName>
    <definedName name="pwq" localSheetId="29">'[4]15-library'!#REF!</definedName>
    <definedName name="pwq" localSheetId="6">'[4]15-library'!#REF!</definedName>
    <definedName name="pwq" localSheetId="31">'[4]15-library'!#REF!</definedName>
    <definedName name="pwq" localSheetId="0">'[4]15-library'!#REF!</definedName>
    <definedName name="pwq" localSheetId="2">'[4]15-library'!#REF!</definedName>
    <definedName name="pwq">'[4]15-library'!#REF!</definedName>
    <definedName name="revenue2" localSheetId="28">'15-library'!#REF!</definedName>
    <definedName name="revenue2" localSheetId="29">'15-library'!#REF!</definedName>
    <definedName name="revenue2" localSheetId="0">'15-library'!#REF!</definedName>
    <definedName name="revenue2" localSheetId="2">'15-library'!#REF!</definedName>
    <definedName name="revenue2">'15-library'!#REF!</definedName>
    <definedName name="rtl" localSheetId="28">'[4]15-library'!#REF!</definedName>
    <definedName name="rtl" localSheetId="29">'[4]15-library'!#REF!</definedName>
    <definedName name="rtl" localSheetId="6">'[4]15-library'!#REF!</definedName>
    <definedName name="rtl" localSheetId="31">'[4]15-library'!#REF!</definedName>
    <definedName name="rtl" localSheetId="0">'[4]15-library'!#REF!</definedName>
    <definedName name="rtl" localSheetId="2">'[4]15-library'!#REF!</definedName>
    <definedName name="rtl">'[4]15-library'!#REF!</definedName>
    <definedName name="ssg" localSheetId="28">'[4]15-library'!#REF!</definedName>
    <definedName name="ssg" localSheetId="29">'[4]15-library'!#REF!</definedName>
    <definedName name="ssg" localSheetId="6">'[4]15-library'!#REF!</definedName>
    <definedName name="ssg" localSheetId="31">'[4]15-library'!#REF!</definedName>
    <definedName name="ssg" localSheetId="0">'[4]15-library'!#REF!</definedName>
    <definedName name="ssg" localSheetId="2">'[4]15-library'!#REF!</definedName>
    <definedName name="ssg">'[4]15-library'!#REF!</definedName>
    <definedName name="voted" localSheetId="28">'15-library'!#REF!</definedName>
    <definedName name="voted" localSheetId="29">'15-library'!#REF!</definedName>
    <definedName name="voted" localSheetId="4">'[1]15-library'!#REF!</definedName>
    <definedName name="voted" localSheetId="7">'[2]15-library'!#REF!</definedName>
    <definedName name="voted" localSheetId="6">'[2]15-library'!#REF!</definedName>
    <definedName name="voted" localSheetId="31">'15-library'!#REF!</definedName>
    <definedName name="voted" localSheetId="0">#REF!</definedName>
    <definedName name="voted" localSheetId="2">#REF!</definedName>
    <definedName name="voted" localSheetId="1">#REF!</definedName>
    <definedName name="www" localSheetId="28">'[4]15-library'!#REF!</definedName>
    <definedName name="www" localSheetId="29">'[4]15-library'!#REF!</definedName>
    <definedName name="www" localSheetId="6">'[4]15-library'!#REF!</definedName>
    <definedName name="www" localSheetId="31">'[4]15-library'!#REF!</definedName>
    <definedName name="www" localSheetId="0">'[4]15-library'!#REF!</definedName>
    <definedName name="www" localSheetId="2">'[4]15-library'!#REF!</definedName>
    <definedName name="www">'[4]15-library'!#REF!</definedName>
  </definedNames>
  <calcPr calcId="152511"/>
</workbook>
</file>

<file path=xl/calcChain.xml><?xml version="1.0" encoding="utf-8"?>
<calcChain xmlns="http://schemas.openxmlformats.org/spreadsheetml/2006/main">
  <c r="I27" i="38" l="1"/>
  <c r="I26" i="38"/>
  <c r="I25" i="38"/>
  <c r="I5" i="38"/>
  <c r="B5" i="52"/>
  <c r="I36" i="59"/>
  <c r="AA123" i="54"/>
  <c r="AA176" i="54"/>
  <c r="I45" i="59"/>
  <c r="J156" i="64" l="1"/>
  <c r="J157" i="64"/>
  <c r="J158" i="64"/>
  <c r="J155" i="64"/>
  <c r="I158" i="64"/>
  <c r="H158" i="64"/>
  <c r="G158" i="64"/>
  <c r="I157" i="64"/>
  <c r="I159" i="64" s="1"/>
  <c r="H157" i="64"/>
  <c r="G157" i="64"/>
  <c r="I156" i="64"/>
  <c r="H156" i="64"/>
  <c r="G156" i="64"/>
  <c r="I155" i="64"/>
  <c r="H155" i="64"/>
  <c r="H159" i="64" s="1"/>
  <c r="G155" i="64"/>
  <c r="G159" i="64" s="1"/>
  <c r="E159" i="64"/>
  <c r="E157" i="64"/>
  <c r="E156" i="64"/>
  <c r="E155" i="64"/>
  <c r="F157" i="64"/>
  <c r="F156" i="64"/>
  <c r="F155" i="64"/>
  <c r="F158" i="64"/>
  <c r="E158" i="64"/>
  <c r="F159" i="64" l="1"/>
  <c r="I50" i="38" l="1"/>
  <c r="I49" i="38"/>
  <c r="I48" i="38"/>
  <c r="I47" i="38"/>
  <c r="I46" i="38"/>
  <c r="I44" i="38"/>
  <c r="I43" i="38"/>
  <c r="I45" i="38"/>
  <c r="I38" i="38"/>
  <c r="I36" i="38"/>
  <c r="I33" i="38"/>
  <c r="I32" i="38"/>
  <c r="I31" i="38"/>
  <c r="I21" i="38"/>
  <c r="I20" i="38"/>
  <c r="I19" i="38"/>
  <c r="I18" i="38"/>
  <c r="I17" i="38"/>
  <c r="I16" i="38"/>
  <c r="I15" i="38"/>
  <c r="I14" i="38"/>
  <c r="I13" i="38"/>
  <c r="I12" i="38"/>
  <c r="I11" i="38"/>
  <c r="I10" i="38"/>
  <c r="I9" i="38"/>
  <c r="I8" i="38"/>
  <c r="I7" i="38"/>
  <c r="I6" i="38"/>
  <c r="J45" i="38"/>
  <c r="B18" i="67" l="1"/>
  <c r="B10" i="52"/>
  <c r="B10" i="66"/>
  <c r="J362" i="7"/>
  <c r="I362" i="7"/>
  <c r="I361" i="7"/>
  <c r="I358" i="7"/>
  <c r="H361" i="7"/>
  <c r="G5" i="38"/>
  <c r="J286" i="1"/>
  <c r="H311" i="4"/>
  <c r="J311" i="4"/>
  <c r="I311" i="4"/>
  <c r="J312" i="4"/>
  <c r="I312" i="4"/>
  <c r="J157" i="53"/>
  <c r="C15" i="7"/>
  <c r="G361" i="7"/>
  <c r="D14" i="3"/>
  <c r="D13" i="3"/>
  <c r="I124" i="2"/>
  <c r="I120" i="2"/>
  <c r="G45" i="38"/>
  <c r="G43" i="38"/>
  <c r="H51" i="65"/>
  <c r="J164" i="60"/>
  <c r="I164" i="60"/>
  <c r="C53" i="9"/>
  <c r="I161" i="15" l="1"/>
  <c r="I156" i="15"/>
  <c r="J256" i="12"/>
  <c r="J255" i="12"/>
  <c r="I255" i="12"/>
  <c r="J257" i="12"/>
  <c r="I257" i="12"/>
  <c r="J248" i="12"/>
  <c r="H15" i="38" s="1"/>
  <c r="I248" i="12"/>
  <c r="I230" i="8"/>
  <c r="J360" i="7"/>
  <c r="I360" i="7"/>
  <c r="J361" i="7"/>
  <c r="J358" i="7"/>
  <c r="H12" i="38" s="1"/>
  <c r="H358" i="7"/>
  <c r="H150" i="53"/>
  <c r="J159" i="5"/>
  <c r="I159" i="5"/>
  <c r="J155" i="5"/>
  <c r="I155" i="5"/>
  <c r="H155" i="5"/>
  <c r="J379" i="3" l="1"/>
  <c r="J375" i="3"/>
  <c r="I375" i="3"/>
  <c r="H375" i="3"/>
  <c r="J372" i="3"/>
  <c r="I372" i="3"/>
  <c r="AA189" i="54" l="1"/>
  <c r="AA33" i="54"/>
  <c r="I55" i="59"/>
  <c r="H280" i="1" l="1"/>
  <c r="B6" i="64" l="1"/>
  <c r="C6" i="64"/>
  <c r="B7" i="64"/>
  <c r="C7" i="64"/>
  <c r="B8" i="64"/>
  <c r="C8" i="64"/>
  <c r="B9" i="64"/>
  <c r="C9" i="64"/>
  <c r="B10" i="64"/>
  <c r="C10" i="64"/>
  <c r="B11" i="64"/>
  <c r="C11" i="64"/>
  <c r="B12" i="64"/>
  <c r="C12" i="64"/>
  <c r="B13" i="64"/>
  <c r="C13" i="64"/>
  <c r="B14" i="64"/>
  <c r="C14" i="64"/>
  <c r="B15" i="64"/>
  <c r="C15" i="64"/>
  <c r="B16" i="64"/>
  <c r="C16" i="64"/>
  <c r="B17" i="64"/>
  <c r="C17" i="64"/>
  <c r="B18" i="64"/>
  <c r="C18" i="64"/>
  <c r="B19" i="64"/>
  <c r="C19" i="64"/>
  <c r="B20" i="64"/>
  <c r="C20" i="64"/>
  <c r="B21" i="64"/>
  <c r="C21" i="64"/>
  <c r="B22" i="64"/>
  <c r="C22" i="64"/>
  <c r="B23" i="64"/>
  <c r="C23" i="64"/>
  <c r="B24" i="64"/>
  <c r="C24" i="64"/>
  <c r="B25" i="64"/>
  <c r="C25" i="64"/>
  <c r="B26" i="64"/>
  <c r="C26" i="64"/>
  <c r="B27" i="64"/>
  <c r="C27" i="64"/>
  <c r="B28" i="64"/>
  <c r="C28" i="64"/>
  <c r="B29" i="64"/>
  <c r="C29" i="64"/>
  <c r="B30" i="64"/>
  <c r="C30" i="64"/>
  <c r="B31" i="64"/>
  <c r="C31" i="64"/>
  <c r="B32" i="64"/>
  <c r="C32" i="64"/>
  <c r="B33" i="64"/>
  <c r="C33" i="64"/>
  <c r="B34" i="64"/>
  <c r="C34" i="64"/>
  <c r="B35" i="64"/>
  <c r="C35" i="64"/>
  <c r="B36" i="64"/>
  <c r="C36" i="64"/>
  <c r="B37" i="64"/>
  <c r="C37" i="64"/>
  <c r="B38" i="64"/>
  <c r="C38" i="64"/>
  <c r="B39" i="64"/>
  <c r="C39" i="64"/>
  <c r="B40" i="64"/>
  <c r="C40" i="64"/>
  <c r="B41" i="64"/>
  <c r="C41" i="64"/>
  <c r="B42" i="64"/>
  <c r="C42" i="64"/>
  <c r="B43" i="64"/>
  <c r="C43" i="64"/>
  <c r="B44" i="64"/>
  <c r="C44" i="64"/>
  <c r="B45" i="64"/>
  <c r="C45" i="64"/>
  <c r="B46" i="64"/>
  <c r="C46" i="64"/>
  <c r="B47" i="64"/>
  <c r="C47" i="64"/>
  <c r="B48" i="64"/>
  <c r="C48" i="64"/>
  <c r="B49" i="64"/>
  <c r="C49" i="64"/>
  <c r="B50" i="64"/>
  <c r="C50" i="64"/>
  <c r="B51" i="64"/>
  <c r="C51" i="64"/>
  <c r="B52" i="64"/>
  <c r="C52" i="64"/>
  <c r="B53" i="64"/>
  <c r="C53" i="64"/>
  <c r="B54" i="64"/>
  <c r="C54" i="64"/>
  <c r="B55" i="64"/>
  <c r="C55" i="64"/>
  <c r="B56" i="64"/>
  <c r="C56" i="64"/>
  <c r="B57" i="64"/>
  <c r="C57" i="64"/>
  <c r="B58" i="64"/>
  <c r="C58" i="64"/>
  <c r="B59" i="64"/>
  <c r="C59" i="64"/>
  <c r="B60" i="64"/>
  <c r="C60" i="64"/>
  <c r="B61" i="64"/>
  <c r="C61" i="64"/>
  <c r="B62" i="64"/>
  <c r="C62" i="64"/>
  <c r="B63" i="64"/>
  <c r="C63" i="64"/>
  <c r="B64" i="64"/>
  <c r="C64" i="64"/>
  <c r="B65" i="64"/>
  <c r="C65" i="64"/>
  <c r="B66" i="64"/>
  <c r="C66" i="64"/>
  <c r="B67" i="64"/>
  <c r="C67" i="64"/>
  <c r="B68" i="64"/>
  <c r="C68" i="64"/>
  <c r="B69" i="64"/>
  <c r="C69" i="64"/>
  <c r="B70" i="64"/>
  <c r="C70" i="64"/>
  <c r="B71" i="64"/>
  <c r="C71" i="64"/>
  <c r="B72" i="64"/>
  <c r="C72" i="64"/>
  <c r="B73" i="64"/>
  <c r="C73" i="64"/>
  <c r="B74" i="64"/>
  <c r="C74" i="64"/>
  <c r="B75" i="64"/>
  <c r="C75" i="64"/>
  <c r="B76" i="64"/>
  <c r="C76" i="64"/>
  <c r="B78" i="64"/>
  <c r="C78" i="64"/>
  <c r="B79" i="64"/>
  <c r="C79" i="64"/>
  <c r="B80" i="64"/>
  <c r="C80" i="64"/>
  <c r="B81" i="64"/>
  <c r="C81" i="64"/>
  <c r="B82" i="64"/>
  <c r="C82" i="64"/>
  <c r="B83" i="64"/>
  <c r="C83" i="64"/>
  <c r="B84" i="64"/>
  <c r="C84" i="64"/>
  <c r="B85" i="64"/>
  <c r="C85" i="64"/>
  <c r="B86" i="64"/>
  <c r="C86" i="64"/>
  <c r="B87" i="64"/>
  <c r="C87" i="64"/>
  <c r="B88" i="64"/>
  <c r="C88" i="64"/>
  <c r="B89" i="64"/>
  <c r="C89" i="64"/>
  <c r="B90" i="64"/>
  <c r="C90" i="64"/>
  <c r="B91" i="64"/>
  <c r="C91" i="64"/>
  <c r="B92" i="64"/>
  <c r="C92" i="64"/>
  <c r="B93" i="64"/>
  <c r="C93" i="64"/>
  <c r="B94" i="64"/>
  <c r="C94" i="64"/>
  <c r="B95" i="64"/>
  <c r="C95" i="64"/>
  <c r="B96" i="64"/>
  <c r="C96" i="64"/>
  <c r="B97" i="64"/>
  <c r="C97" i="64"/>
  <c r="B98" i="64"/>
  <c r="C98" i="64"/>
  <c r="B99" i="64"/>
  <c r="C99" i="64"/>
  <c r="B100" i="64"/>
  <c r="C100" i="64"/>
  <c r="B101" i="64"/>
  <c r="C101" i="64"/>
  <c r="B102" i="64"/>
  <c r="C102" i="64"/>
  <c r="B103" i="64"/>
  <c r="C103" i="64"/>
  <c r="B104" i="64"/>
  <c r="C104" i="64"/>
  <c r="B105" i="64"/>
  <c r="C105" i="64"/>
  <c r="B106" i="64"/>
  <c r="C106" i="64"/>
  <c r="B107" i="64"/>
  <c r="C107" i="64"/>
  <c r="B108" i="64"/>
  <c r="C108" i="64"/>
  <c r="B109" i="64"/>
  <c r="C109" i="64"/>
  <c r="B110" i="64"/>
  <c r="C110" i="64"/>
  <c r="B111" i="64"/>
  <c r="C111" i="64"/>
  <c r="B112" i="64"/>
  <c r="C112" i="64"/>
  <c r="B113" i="64"/>
  <c r="C113" i="64"/>
  <c r="B114" i="64"/>
  <c r="C114" i="64"/>
  <c r="B115" i="64"/>
  <c r="C115" i="64"/>
  <c r="B116" i="64"/>
  <c r="C116" i="64"/>
  <c r="B117" i="64"/>
  <c r="C117" i="64"/>
  <c r="B118" i="64"/>
  <c r="C118" i="64"/>
  <c r="B119" i="64"/>
  <c r="C119" i="64"/>
  <c r="B120" i="64"/>
  <c r="C120" i="64"/>
  <c r="B121" i="64"/>
  <c r="C121" i="64"/>
  <c r="B122" i="64"/>
  <c r="C122" i="64"/>
  <c r="B123" i="64"/>
  <c r="C123" i="64"/>
  <c r="B124" i="64"/>
  <c r="C124" i="64"/>
  <c r="B125" i="64"/>
  <c r="B126" i="64"/>
  <c r="C126" i="64"/>
  <c r="B127" i="64"/>
  <c r="C127" i="64"/>
  <c r="B128" i="64"/>
  <c r="C128" i="64"/>
  <c r="B129" i="64"/>
  <c r="C129" i="64"/>
  <c r="B130" i="64"/>
  <c r="C130" i="64"/>
  <c r="G23" i="18" l="1"/>
  <c r="F23" i="18"/>
  <c r="E23" i="18"/>
  <c r="D23" i="18"/>
  <c r="C23" i="18"/>
  <c r="H278" i="1"/>
  <c r="F5" i="38" s="1"/>
  <c r="D61" i="64" l="1"/>
  <c r="H164" i="60" l="1"/>
  <c r="G164" i="60"/>
  <c r="F164" i="60"/>
  <c r="E164" i="60"/>
  <c r="G161" i="15"/>
  <c r="H161" i="15"/>
  <c r="H257" i="12"/>
  <c r="H256" i="12"/>
  <c r="H255" i="12"/>
  <c r="H258" i="12" s="1"/>
  <c r="H230" i="8"/>
  <c r="G230" i="8"/>
  <c r="H362" i="7"/>
  <c r="G362" i="7"/>
  <c r="F362" i="7"/>
  <c r="C29" i="6"/>
  <c r="H379" i="3"/>
  <c r="G375" i="3"/>
  <c r="C68" i="3"/>
  <c r="I342" i="9" l="1"/>
  <c r="G31" i="38" s="1"/>
  <c r="H342" i="9"/>
  <c r="F31" i="38" s="1"/>
  <c r="H346" i="9"/>
  <c r="G346" i="9"/>
  <c r="H345" i="9"/>
  <c r="H344" i="9"/>
  <c r="G344" i="9"/>
  <c r="H114" i="37"/>
  <c r="H113" i="37"/>
  <c r="H112" i="37"/>
  <c r="H110" i="37"/>
  <c r="I96" i="17"/>
  <c r="I95" i="17"/>
  <c r="I94" i="17"/>
  <c r="I97" i="17" s="1"/>
  <c r="I92" i="17"/>
  <c r="I90" i="17"/>
  <c r="H155" i="16"/>
  <c r="H154" i="16"/>
  <c r="H153" i="16"/>
  <c r="H151" i="16"/>
  <c r="H248" i="12"/>
  <c r="F15" i="38" s="1"/>
  <c r="H160" i="15"/>
  <c r="H159" i="15"/>
  <c r="H156" i="15"/>
  <c r="F18" i="38" s="1"/>
  <c r="H154" i="14"/>
  <c r="H153" i="14"/>
  <c r="H152" i="14"/>
  <c r="H150" i="14"/>
  <c r="F17" i="38" s="1"/>
  <c r="H132" i="13"/>
  <c r="H130" i="13"/>
  <c r="H127" i="13"/>
  <c r="F16" i="38" s="1"/>
  <c r="H131" i="13"/>
  <c r="H257" i="11"/>
  <c r="H256" i="11"/>
  <c r="H255" i="11"/>
  <c r="H253" i="11"/>
  <c r="F14" i="38" s="1"/>
  <c r="I225" i="8"/>
  <c r="G13" i="38" s="1"/>
  <c r="L13" i="38" s="1"/>
  <c r="N13" i="38" s="1"/>
  <c r="H225" i="8"/>
  <c r="F13" i="38" s="1"/>
  <c r="G225" i="8"/>
  <c r="E13" i="38" s="1"/>
  <c r="F225" i="8"/>
  <c r="E225" i="8"/>
  <c r="D356" i="7"/>
  <c r="C356" i="7"/>
  <c r="H360" i="7"/>
  <c r="F12" i="38"/>
  <c r="D13" i="6"/>
  <c r="H146" i="6"/>
  <c r="H145" i="6"/>
  <c r="H144" i="6"/>
  <c r="H147" i="6" s="1"/>
  <c r="H142" i="6"/>
  <c r="F11" i="38" s="1"/>
  <c r="H154" i="53"/>
  <c r="H153" i="53"/>
  <c r="H152" i="53"/>
  <c r="F10" i="38"/>
  <c r="H159" i="5"/>
  <c r="H158" i="5"/>
  <c r="H157" i="5"/>
  <c r="H312" i="4"/>
  <c r="H310" i="4"/>
  <c r="H308" i="4"/>
  <c r="I379" i="3"/>
  <c r="G379" i="3"/>
  <c r="I378" i="3"/>
  <c r="H378" i="3"/>
  <c r="G378" i="3"/>
  <c r="I377" i="3"/>
  <c r="H377" i="3"/>
  <c r="G377" i="3"/>
  <c r="H372" i="3"/>
  <c r="G372" i="3"/>
  <c r="F372" i="3"/>
  <c r="C45" i="3"/>
  <c r="D45" i="3" s="1"/>
  <c r="H156" i="16" l="1"/>
  <c r="H155" i="14"/>
  <c r="H313" i="4"/>
  <c r="F8" i="38" s="1"/>
  <c r="H115" i="37"/>
  <c r="H347" i="9"/>
  <c r="H162" i="15"/>
  <c r="H155" i="53"/>
  <c r="I380" i="3"/>
  <c r="H133" i="13"/>
  <c r="H258" i="11"/>
  <c r="H160" i="5"/>
  <c r="F9" i="38" s="1"/>
  <c r="H363" i="7"/>
  <c r="G380" i="3"/>
  <c r="E7" i="38" s="1"/>
  <c r="H380" i="3"/>
  <c r="F7" i="38" s="1"/>
  <c r="G7" i="38" l="1"/>
  <c r="L7" i="38" s="1"/>
  <c r="N7" i="38" s="1"/>
  <c r="I384" i="3"/>
  <c r="H124" i="2"/>
  <c r="H123" i="2"/>
  <c r="H122" i="2"/>
  <c r="H120" i="2"/>
  <c r="F6" i="38" s="1"/>
  <c r="H282" i="1"/>
  <c r="G282" i="1"/>
  <c r="H281" i="1"/>
  <c r="G281" i="1"/>
  <c r="G280" i="1"/>
  <c r="F45" i="38"/>
  <c r="B15" i="66"/>
  <c r="G283" i="1" l="1"/>
  <c r="H283" i="1"/>
  <c r="H125" i="2"/>
  <c r="D123" i="64"/>
  <c r="D120" i="64"/>
  <c r="D119" i="64"/>
  <c r="D100" i="64"/>
  <c r="D90" i="64"/>
  <c r="D88" i="64"/>
  <c r="D53" i="64"/>
  <c r="D52" i="64"/>
  <c r="D51" i="64"/>
  <c r="D49" i="64"/>
  <c r="D48" i="64"/>
  <c r="D37" i="64"/>
  <c r="D30" i="64"/>
  <c r="D27" i="64"/>
  <c r="D26" i="64"/>
  <c r="D10" i="64"/>
  <c r="D142" i="60"/>
  <c r="D126" i="60"/>
  <c r="D125" i="60"/>
  <c r="D124" i="60"/>
  <c r="D127" i="60" s="1"/>
  <c r="B130" i="60" s="1"/>
  <c r="D130" i="60" s="1"/>
  <c r="D107" i="60"/>
  <c r="D106" i="60"/>
  <c r="D105" i="60"/>
  <c r="D108" i="60" s="1"/>
  <c r="D85" i="60"/>
  <c r="D84" i="60"/>
  <c r="D83" i="60"/>
  <c r="D86" i="60" s="1"/>
  <c r="D69" i="60"/>
  <c r="D68" i="60"/>
  <c r="D52" i="60"/>
  <c r="D51" i="60"/>
  <c r="D53" i="60" s="1"/>
  <c r="D26" i="60"/>
  <c r="D25" i="60"/>
  <c r="D24" i="60"/>
  <c r="D23" i="60"/>
  <c r="D22" i="60"/>
  <c r="D21" i="60"/>
  <c r="D20" i="60"/>
  <c r="D19" i="60"/>
  <c r="D18" i="60"/>
  <c r="D17" i="60"/>
  <c r="D16" i="60"/>
  <c r="D15" i="60"/>
  <c r="D14" i="60"/>
  <c r="D13" i="60"/>
  <c r="D12" i="60"/>
  <c r="D27" i="60" l="1"/>
  <c r="B29" i="60" s="1"/>
  <c r="D29" i="60" s="1"/>
  <c r="D70" i="60"/>
  <c r="B72" i="60" s="1"/>
  <c r="D72" i="60" s="1"/>
  <c r="B55" i="60"/>
  <c r="D55" i="60" s="1"/>
  <c r="B54" i="60"/>
  <c r="D54" i="60" s="1"/>
  <c r="B56" i="60"/>
  <c r="D56" i="60" s="1"/>
  <c r="B109" i="60"/>
  <c r="D109" i="60" s="1"/>
  <c r="B110" i="60"/>
  <c r="D110" i="60" s="1"/>
  <c r="B111" i="60"/>
  <c r="D111" i="60" s="1"/>
  <c r="B89" i="60"/>
  <c r="D89" i="60" s="1"/>
  <c r="B88" i="60"/>
  <c r="D88" i="60" s="1"/>
  <c r="B87" i="60"/>
  <c r="D87" i="60" s="1"/>
  <c r="B143" i="60"/>
  <c r="D143" i="60" s="1"/>
  <c r="B129" i="60"/>
  <c r="D129" i="60" s="1"/>
  <c r="B144" i="60"/>
  <c r="D144" i="60" s="1"/>
  <c r="B128" i="60"/>
  <c r="D128" i="60" s="1"/>
  <c r="B145" i="60"/>
  <c r="D145" i="60" s="1"/>
  <c r="B28" i="60" l="1"/>
  <c r="D28" i="60" s="1"/>
  <c r="B30" i="60"/>
  <c r="D30" i="60" s="1"/>
  <c r="B71" i="60"/>
  <c r="D71" i="60" s="1"/>
  <c r="B73" i="60"/>
  <c r="D73" i="60" s="1"/>
  <c r="D101" i="60"/>
  <c r="D64" i="60"/>
  <c r="D120" i="60"/>
  <c r="D151" i="60"/>
  <c r="D137" i="60"/>
  <c r="D79" i="60" l="1"/>
  <c r="D47" i="60"/>
  <c r="D366" i="3"/>
  <c r="D365" i="3"/>
  <c r="D364" i="3"/>
  <c r="D360" i="3"/>
  <c r="D361" i="3" s="1"/>
  <c r="D354" i="3"/>
  <c r="D356" i="3" s="1"/>
  <c r="D347" i="3"/>
  <c r="D342" i="3"/>
  <c r="D341" i="3"/>
  <c r="D340" i="3"/>
  <c r="D337" i="3"/>
  <c r="D334" i="3"/>
  <c r="D330" i="3"/>
  <c r="D329" i="3"/>
  <c r="D328" i="3"/>
  <c r="D327" i="3"/>
  <c r="D326" i="3"/>
  <c r="D321" i="3"/>
  <c r="D320" i="3"/>
  <c r="D319" i="3"/>
  <c r="D312" i="3"/>
  <c r="D311" i="3"/>
  <c r="D310" i="3"/>
  <c r="D309" i="3"/>
  <c r="D308" i="3"/>
  <c r="D307" i="3"/>
  <c r="D306" i="3"/>
  <c r="D305" i="3"/>
  <c r="D304" i="3"/>
  <c r="D302" i="3"/>
  <c r="D301" i="3"/>
  <c r="D296" i="3"/>
  <c r="D295" i="3"/>
  <c r="D294" i="3"/>
  <c r="D293" i="3"/>
  <c r="D292" i="3"/>
  <c r="D291" i="3"/>
  <c r="D283" i="3"/>
  <c r="D258" i="3"/>
  <c r="D257" i="3"/>
  <c r="D256" i="3"/>
  <c r="D255" i="3"/>
  <c r="D254" i="3"/>
  <c r="D253" i="3"/>
  <c r="D252" i="3"/>
  <c r="D251" i="3"/>
  <c r="D247" i="3"/>
  <c r="D246" i="3"/>
  <c r="D245" i="3"/>
  <c r="D244" i="3"/>
  <c r="D243" i="3"/>
  <c r="D242" i="3"/>
  <c r="D236" i="3"/>
  <c r="D235" i="3"/>
  <c r="D237" i="3" s="1"/>
  <c r="D232" i="3"/>
  <c r="D223" i="3"/>
  <c r="D217" i="3"/>
  <c r="D204" i="3"/>
  <c r="D203" i="3"/>
  <c r="D202" i="3"/>
  <c r="D201" i="3"/>
  <c r="D200" i="3"/>
  <c r="D199" i="3"/>
  <c r="D198" i="3"/>
  <c r="D197" i="3"/>
  <c r="D196" i="3"/>
  <c r="D195" i="3"/>
  <c r="D194" i="3"/>
  <c r="D193" i="3"/>
  <c r="D192" i="3"/>
  <c r="D185" i="3"/>
  <c r="D184" i="3"/>
  <c r="D183" i="3"/>
  <c r="D182" i="3"/>
  <c r="D181" i="3"/>
  <c r="D180" i="3"/>
  <c r="D179" i="3"/>
  <c r="D178" i="3"/>
  <c r="D175" i="3"/>
  <c r="D170" i="3"/>
  <c r="D162" i="3"/>
  <c r="D161" i="3"/>
  <c r="D160" i="3"/>
  <c r="B159" i="3"/>
  <c r="D159" i="3" s="1"/>
  <c r="D158" i="3"/>
  <c r="D157" i="3"/>
  <c r="B144" i="3"/>
  <c r="D144" i="3" s="1"/>
  <c r="D143" i="3"/>
  <c r="B139" i="3"/>
  <c r="D139" i="3" s="1"/>
  <c r="D138" i="3"/>
  <c r="D137" i="3"/>
  <c r="D133" i="3"/>
  <c r="D132" i="3"/>
  <c r="B131" i="3"/>
  <c r="D131" i="3" s="1"/>
  <c r="D127" i="3"/>
  <c r="D126" i="3"/>
  <c r="B125" i="3"/>
  <c r="D125" i="3" s="1"/>
  <c r="D101" i="3"/>
  <c r="D92" i="3"/>
  <c r="D91" i="3"/>
  <c r="D88" i="3"/>
  <c r="B86" i="3"/>
  <c r="D85" i="3"/>
  <c r="D84" i="3"/>
  <c r="D83" i="3"/>
  <c r="B75" i="3"/>
  <c r="C67" i="3"/>
  <c r="D67" i="3" s="1"/>
  <c r="C66" i="3"/>
  <c r="D66" i="3" s="1"/>
  <c r="C65" i="3"/>
  <c r="D65" i="3" s="1"/>
  <c r="C64" i="3"/>
  <c r="D64" i="3" s="1"/>
  <c r="C46" i="3"/>
  <c r="D46" i="3" s="1"/>
  <c r="C63" i="3"/>
  <c r="D63" i="3" s="1"/>
  <c r="C62" i="3"/>
  <c r="D62" i="3" s="1"/>
  <c r="C61" i="3"/>
  <c r="D61" i="3" s="1"/>
  <c r="C60" i="3"/>
  <c r="D60" i="3" s="1"/>
  <c r="C59" i="3"/>
  <c r="D59" i="3" s="1"/>
  <c r="C58" i="3"/>
  <c r="D58" i="3" s="1"/>
  <c r="C57" i="3"/>
  <c r="D57" i="3" s="1"/>
  <c r="C49" i="3"/>
  <c r="D49" i="3" s="1"/>
  <c r="C56" i="3"/>
  <c r="D56" i="3" s="1"/>
  <c r="C48" i="3"/>
  <c r="D48" i="3" s="1"/>
  <c r="C55" i="3"/>
  <c r="D55" i="3" s="1"/>
  <c r="C53" i="3"/>
  <c r="D53" i="3" s="1"/>
  <c r="C44" i="3"/>
  <c r="D44" i="3" s="1"/>
  <c r="C43" i="3"/>
  <c r="D43" i="3" s="1"/>
  <c r="C42" i="3"/>
  <c r="D42" i="3" s="1"/>
  <c r="C41" i="3"/>
  <c r="D41" i="3" s="1"/>
  <c r="C40" i="3"/>
  <c r="D40" i="3" s="1"/>
  <c r="C52" i="3"/>
  <c r="D52" i="3" s="1"/>
  <c r="C39" i="3"/>
  <c r="D39" i="3" s="1"/>
  <c r="C38" i="3"/>
  <c r="D38" i="3" s="1"/>
  <c r="C51" i="3"/>
  <c r="D51" i="3" s="1"/>
  <c r="C37" i="3"/>
  <c r="D37" i="3" s="1"/>
  <c r="C36" i="3"/>
  <c r="D36" i="3" s="1"/>
  <c r="C35" i="3"/>
  <c r="D35" i="3" s="1"/>
  <c r="C47" i="3"/>
  <c r="D47" i="3" s="1"/>
  <c r="C34" i="3"/>
  <c r="D34" i="3" s="1"/>
  <c r="C33" i="3"/>
  <c r="D33" i="3" s="1"/>
  <c r="C32" i="3"/>
  <c r="D32" i="3" s="1"/>
  <c r="C50" i="3"/>
  <c r="D50" i="3" s="1"/>
  <c r="C54" i="3"/>
  <c r="D54" i="3" s="1"/>
  <c r="D142" i="53"/>
  <c r="D124" i="53"/>
  <c r="D126" i="53" s="1"/>
  <c r="D121" i="53"/>
  <c r="D114" i="53"/>
  <c r="D113" i="53"/>
  <c r="D112" i="53"/>
  <c r="D111" i="53"/>
  <c r="D110" i="53"/>
  <c r="D109" i="53"/>
  <c r="D108" i="53"/>
  <c r="D107" i="53"/>
  <c r="D102" i="53"/>
  <c r="D101" i="53"/>
  <c r="D103" i="53" s="1"/>
  <c r="D100" i="53"/>
  <c r="D96" i="53"/>
  <c r="D90" i="53"/>
  <c r="D85" i="53"/>
  <c r="D84" i="53"/>
  <c r="D86" i="53" s="1"/>
  <c r="D80" i="53"/>
  <c r="D367" i="3" l="1"/>
  <c r="D128" i="3"/>
  <c r="D145" i="3"/>
  <c r="D93" i="3"/>
  <c r="D205" i="3"/>
  <c r="D343" i="3"/>
  <c r="D297" i="3"/>
  <c r="D86" i="3"/>
  <c r="D94" i="3" s="1"/>
  <c r="D134" i="3"/>
  <c r="D323" i="3"/>
  <c r="D248" i="3"/>
  <c r="D115" i="53"/>
  <c r="D188" i="3"/>
  <c r="D316" i="3"/>
  <c r="D259" i="3"/>
  <c r="D331" i="3"/>
  <c r="D140" i="3"/>
  <c r="C97" i="3" l="1"/>
  <c r="D68" i="3"/>
  <c r="D70" i="3" s="1"/>
  <c r="B163" i="3"/>
  <c r="D163" i="3" s="1"/>
  <c r="D164" i="3" s="1"/>
  <c r="B152" i="3"/>
  <c r="D152" i="3" s="1"/>
  <c r="B112" i="3"/>
  <c r="D112" i="3" s="1"/>
  <c r="B150" i="3" l="1"/>
  <c r="D150" i="3" s="1"/>
  <c r="B110" i="3"/>
  <c r="C99" i="3"/>
  <c r="D99" i="3" s="1"/>
  <c r="C98" i="3"/>
  <c r="C100" i="3" s="1"/>
  <c r="D97" i="3"/>
  <c r="C104" i="3" l="1"/>
  <c r="C103" i="3"/>
  <c r="D103" i="3" s="1"/>
  <c r="D98" i="3"/>
  <c r="D110" i="3"/>
  <c r="B119" i="3"/>
  <c r="D119" i="3" s="1"/>
  <c r="D104" i="3" l="1"/>
  <c r="D100" i="3" l="1"/>
  <c r="D105" i="3" s="1"/>
  <c r="B113" i="3" s="1"/>
  <c r="B121" i="3" l="1"/>
  <c r="D113" i="3"/>
  <c r="D121" i="3" l="1"/>
  <c r="B153" i="3"/>
  <c r="D153" i="3" s="1"/>
  <c r="AF24" i="55" l="1"/>
  <c r="D101" i="64"/>
  <c r="D60" i="64"/>
  <c r="E101" i="64" l="1"/>
  <c r="E51" i="64"/>
  <c r="E52" i="64"/>
  <c r="E60" i="64"/>
  <c r="E77" i="64"/>
  <c r="D47" i="64"/>
  <c r="D50" i="64"/>
  <c r="D54" i="64"/>
  <c r="D55" i="64"/>
  <c r="D56" i="64"/>
  <c r="D57" i="64"/>
  <c r="D58" i="64"/>
  <c r="D63" i="64"/>
  <c r="D65" i="64"/>
  <c r="D67" i="64"/>
  <c r="D68" i="64"/>
  <c r="D71" i="64"/>
  <c r="D81" i="64"/>
  <c r="D82" i="64"/>
  <c r="D94" i="64"/>
  <c r="E94" i="64"/>
  <c r="D96" i="64"/>
  <c r="E96" i="64"/>
  <c r="D97" i="64"/>
  <c r="E67" i="64" l="1"/>
  <c r="E68" i="64"/>
  <c r="E82" i="64"/>
  <c r="E57" i="64"/>
  <c r="E63" i="64"/>
  <c r="E56" i="64"/>
  <c r="E50" i="64"/>
  <c r="E47" i="64"/>
  <c r="E58" i="64"/>
  <c r="E65" i="64"/>
  <c r="E55" i="64"/>
  <c r="E71" i="64"/>
  <c r="E97" i="64"/>
  <c r="E81" i="64"/>
  <c r="E49" i="64"/>
  <c r="E120" i="64"/>
  <c r="E54" i="64"/>
  <c r="E123" i="64"/>
  <c r="I26" i="59" l="1"/>
  <c r="D23" i="11" l="1"/>
  <c r="D233" i="1" l="1"/>
  <c r="D23" i="6" l="1"/>
  <c r="D46" i="9"/>
  <c r="I24" i="59" l="1"/>
  <c r="AA110" i="54" l="1"/>
  <c r="Z176" i="54" l="1"/>
  <c r="I58" i="59"/>
  <c r="H45" i="59"/>
  <c r="D149" i="16"/>
  <c r="C149" i="16"/>
  <c r="D131" i="16"/>
  <c r="D123" i="16"/>
  <c r="D114" i="16"/>
  <c r="D88" i="16"/>
  <c r="D77" i="16"/>
  <c r="D75" i="16"/>
  <c r="D74" i="16"/>
  <c r="D73" i="16"/>
  <c r="D62" i="16"/>
  <c r="D59" i="16"/>
  <c r="D55" i="16"/>
  <c r="D54" i="16"/>
  <c r="D51" i="16"/>
  <c r="D29" i="16"/>
  <c r="D28" i="16"/>
  <c r="D27" i="16"/>
  <c r="D26" i="16"/>
  <c r="D21" i="16"/>
  <c r="D23" i="16" s="1"/>
  <c r="B38" i="16" s="1"/>
  <c r="D16" i="16"/>
  <c r="D15" i="16"/>
  <c r="D14" i="16"/>
  <c r="D13" i="16"/>
  <c r="C33" i="16"/>
  <c r="D33" i="16" s="1"/>
  <c r="B40" i="16" s="1"/>
  <c r="D7" i="16"/>
  <c r="D9" i="16" s="1"/>
  <c r="D30" i="16" l="1"/>
  <c r="B39" i="16" s="1"/>
  <c r="B68" i="16" s="1"/>
  <c r="D68" i="16" s="1"/>
  <c r="D56" i="16"/>
  <c r="B76" i="16"/>
  <c r="D76" i="16" s="1"/>
  <c r="D78" i="16" s="1"/>
  <c r="B46" i="16"/>
  <c r="D38" i="16"/>
  <c r="B47" i="16"/>
  <c r="D47" i="16" s="1"/>
  <c r="D40" i="16"/>
  <c r="B69" i="16"/>
  <c r="D69" i="16" s="1"/>
  <c r="B36" i="16"/>
  <c r="D36" i="16" s="1"/>
  <c r="B65" i="16"/>
  <c r="D65" i="16" s="1"/>
  <c r="B44" i="16"/>
  <c r="D44" i="16" s="1"/>
  <c r="D39" i="16"/>
  <c r="D12" i="16"/>
  <c r="D18" i="16" s="1"/>
  <c r="B37" i="16" s="1"/>
  <c r="D37" i="16" l="1"/>
  <c r="D41" i="16" s="1"/>
  <c r="B45" i="16"/>
  <c r="D46" i="16"/>
  <c r="B67" i="16"/>
  <c r="D67" i="16" s="1"/>
  <c r="D45" i="16" l="1"/>
  <c r="D48" i="16" s="1"/>
  <c r="B66" i="16"/>
  <c r="D66" i="16" s="1"/>
  <c r="D70" i="16" s="1"/>
  <c r="AA179" i="54" l="1"/>
  <c r="I77" i="59" l="1"/>
  <c r="G229" i="8"/>
  <c r="E229" i="8"/>
  <c r="F229" i="8"/>
  <c r="G312" i="4"/>
  <c r="G311" i="4"/>
  <c r="E312" i="4"/>
  <c r="F311" i="4"/>
  <c r="F312" i="4"/>
  <c r="D214" i="8"/>
  <c r="D206" i="8"/>
  <c r="D197" i="8"/>
  <c r="D191" i="8"/>
  <c r="C181" i="8"/>
  <c r="D181" i="8" s="1"/>
  <c r="D177" i="8"/>
  <c r="C176" i="8"/>
  <c r="D176" i="8" s="1"/>
  <c r="D178" i="8" s="1"/>
  <c r="D164" i="8"/>
  <c r="D156" i="8"/>
  <c r="D151" i="8"/>
  <c r="D139" i="8"/>
  <c r="D138" i="8"/>
  <c r="D131" i="8"/>
  <c r="D123" i="8"/>
  <c r="D122" i="8"/>
  <c r="D121" i="8"/>
  <c r="D118" i="8"/>
  <c r="D107" i="8"/>
  <c r="D101" i="8"/>
  <c r="D99" i="8"/>
  <c r="D98" i="8"/>
  <c r="D97" i="8"/>
  <c r="D96" i="8"/>
  <c r="F361" i="7"/>
  <c r="F360" i="7"/>
  <c r="D140" i="8" l="1"/>
  <c r="D124" i="8"/>
  <c r="D102" i="8"/>
  <c r="E362" i="7"/>
  <c r="G358" i="7"/>
  <c r="E12" i="38" s="1"/>
  <c r="F358" i="7"/>
  <c r="D12" i="38" s="1"/>
  <c r="E358" i="7"/>
  <c r="B356" i="7"/>
  <c r="D349" i="7"/>
  <c r="D344" i="7"/>
  <c r="D339" i="7"/>
  <c r="D122" i="64" s="1"/>
  <c r="E122" i="64" s="1"/>
  <c r="D334" i="7"/>
  <c r="D330" i="7"/>
  <c r="D303" i="7"/>
  <c r="D301" i="7"/>
  <c r="D300" i="7"/>
  <c r="D292" i="7"/>
  <c r="D287" i="7"/>
  <c r="D282" i="7"/>
  <c r="D267" i="7"/>
  <c r="D258" i="7"/>
  <c r="D234" i="7"/>
  <c r="D233" i="7"/>
  <c r="D228" i="7"/>
  <c r="D230" i="7" s="1"/>
  <c r="D225" i="7"/>
  <c r="D216" i="7"/>
  <c r="D198" i="7"/>
  <c r="D192" i="7"/>
  <c r="D180" i="7"/>
  <c r="D181" i="7" s="1"/>
  <c r="D173" i="7"/>
  <c r="D172" i="7"/>
  <c r="D163" i="7"/>
  <c r="D158" i="7"/>
  <c r="D146" i="7"/>
  <c r="D139" i="7"/>
  <c r="D138" i="7"/>
  <c r="D137" i="7"/>
  <c r="D136" i="7"/>
  <c r="D135" i="7"/>
  <c r="D134" i="7"/>
  <c r="D133" i="7"/>
  <c r="D132" i="7"/>
  <c r="D131" i="7"/>
  <c r="D128" i="7"/>
  <c r="G142" i="6"/>
  <c r="E11" i="38" s="1"/>
  <c r="E136" i="6"/>
  <c r="D130" i="6"/>
  <c r="E126" i="6"/>
  <c r="D121" i="6"/>
  <c r="D109" i="6"/>
  <c r="D97" i="6"/>
  <c r="D82" i="6"/>
  <c r="D337" i="9"/>
  <c r="C337" i="9"/>
  <c r="D329" i="9"/>
  <c r="D325" i="9"/>
  <c r="D312" i="9"/>
  <c r="C312" i="9"/>
  <c r="D306" i="9"/>
  <c r="C306" i="9"/>
  <c r="G297" i="9"/>
  <c r="D290" i="9"/>
  <c r="D285" i="9"/>
  <c r="D267" i="9"/>
  <c r="D271" i="9" s="1"/>
  <c r="C262" i="9"/>
  <c r="C261" i="9"/>
  <c r="D248" i="9"/>
  <c r="B240" i="9"/>
  <c r="D240" i="9" s="1"/>
  <c r="G239" i="9" s="1"/>
  <c r="D236" i="9"/>
  <c r="D235" i="9"/>
  <c r="D234" i="9"/>
  <c r="D233" i="9"/>
  <c r="D232" i="9"/>
  <c r="D221" i="9"/>
  <c r="D210" i="9"/>
  <c r="D212" i="9" s="1"/>
  <c r="D203" i="9"/>
  <c r="D202" i="9"/>
  <c r="D201" i="9"/>
  <c r="D204" i="9" s="1"/>
  <c r="D198" i="9"/>
  <c r="G197" i="9"/>
  <c r="D195" i="9"/>
  <c r="D184" i="9"/>
  <c r="D183" i="9"/>
  <c r="D185" i="9" s="1"/>
  <c r="D180" i="9"/>
  <c r="D171" i="9"/>
  <c r="D146" i="9"/>
  <c r="D145" i="9"/>
  <c r="D142" i="9"/>
  <c r="D139" i="9"/>
  <c r="D135" i="9"/>
  <c r="E127" i="13"/>
  <c r="D125" i="13"/>
  <c r="G122" i="13" s="1"/>
  <c r="D124" i="64" s="1"/>
  <c r="E124" i="64" s="1"/>
  <c r="D117" i="13"/>
  <c r="D112" i="13"/>
  <c r="D89" i="13"/>
  <c r="D88" i="13"/>
  <c r="D82" i="13"/>
  <c r="D81" i="13"/>
  <c r="D80" i="13"/>
  <c r="D79" i="13"/>
  <c r="D78" i="13"/>
  <c r="D77" i="13"/>
  <c r="D83" i="13" s="1"/>
  <c r="D140" i="14"/>
  <c r="E119" i="64" s="1"/>
  <c r="D121" i="14"/>
  <c r="C121" i="14"/>
  <c r="D114" i="14"/>
  <c r="D87" i="14"/>
  <c r="D82" i="14"/>
  <c r="D73" i="14"/>
  <c r="D68" i="14"/>
  <c r="D59" i="14"/>
  <c r="D61" i="14" s="1"/>
  <c r="G342" i="9" l="1"/>
  <c r="E31" i="38" s="1"/>
  <c r="D147" i="9"/>
  <c r="D237" i="9"/>
  <c r="G231" i="9" s="1"/>
  <c r="G345" i="9" s="1"/>
  <c r="G347" i="9" s="1"/>
  <c r="D90" i="13"/>
  <c r="D140" i="7"/>
  <c r="D174" i="7"/>
  <c r="D238" i="7"/>
  <c r="C271" i="9"/>
  <c r="D309" i="7"/>
  <c r="E156" i="15"/>
  <c r="E257" i="11"/>
  <c r="G159" i="5"/>
  <c r="F159" i="5"/>
  <c r="E159" i="5"/>
  <c r="G120" i="2"/>
  <c r="E6" i="38" s="1"/>
  <c r="E120" i="2"/>
  <c r="F120" i="2"/>
  <c r="D6" i="38" s="1"/>
  <c r="E278" i="1"/>
  <c r="E155" i="5"/>
  <c r="F155" i="5"/>
  <c r="G155" i="5"/>
  <c r="D144" i="5"/>
  <c r="D138" i="5"/>
  <c r="D131" i="5"/>
  <c r="D113" i="5"/>
  <c r="D110" i="5"/>
  <c r="C96" i="5"/>
  <c r="D95" i="5"/>
  <c r="D94" i="5"/>
  <c r="D96" i="5" s="1"/>
  <c r="E72" i="17"/>
  <c r="H57" i="17" s="1"/>
  <c r="D72" i="17"/>
  <c r="C72" i="17"/>
  <c r="B72" i="17"/>
  <c r="E49" i="17"/>
  <c r="D49" i="17"/>
  <c r="C49" i="17"/>
  <c r="E32" i="17"/>
  <c r="D32" i="17"/>
  <c r="C32" i="17"/>
  <c r="G156" i="15" l="1"/>
  <c r="E18" i="38" s="1"/>
  <c r="D138" i="15"/>
  <c r="D122" i="15"/>
  <c r="D117" i="15"/>
  <c r="D95" i="15"/>
  <c r="D89" i="15"/>
  <c r="D84" i="15"/>
  <c r="D81" i="15"/>
  <c r="F257" i="12"/>
  <c r="E257" i="12"/>
  <c r="F248" i="12"/>
  <c r="D15" i="38" s="1"/>
  <c r="E248" i="12"/>
  <c r="F255" i="12" l="1"/>
  <c r="F256" i="12"/>
  <c r="F252" i="12"/>
  <c r="G239" i="12"/>
  <c r="D223" i="12"/>
  <c r="D231" i="12" s="1"/>
  <c r="G206" i="12" s="1"/>
  <c r="D98" i="64" s="1"/>
  <c r="E98" i="64" s="1"/>
  <c r="G203" i="12"/>
  <c r="D93" i="64" s="1"/>
  <c r="E93" i="64" s="1"/>
  <c r="D201" i="12"/>
  <c r="G195" i="12" s="1"/>
  <c r="D76" i="64" s="1"/>
  <c r="E76" i="64" s="1"/>
  <c r="D193" i="12"/>
  <c r="G176" i="12" s="1"/>
  <c r="D66" i="64" s="1"/>
  <c r="E66" i="64" s="1"/>
  <c r="D174" i="12"/>
  <c r="G167" i="12" s="1"/>
  <c r="D62" i="64" s="1"/>
  <c r="E62" i="64" s="1"/>
  <c r="G164" i="12"/>
  <c r="E61" i="64" s="1"/>
  <c r="D162" i="12"/>
  <c r="D155" i="12"/>
  <c r="D157" i="12" s="1"/>
  <c r="G143" i="12" s="1"/>
  <c r="D46" i="64" s="1"/>
  <c r="E46" i="64" s="1"/>
  <c r="D141" i="12"/>
  <c r="G138" i="12" s="1"/>
  <c r="D43" i="64" s="1"/>
  <c r="E43" i="64" s="1"/>
  <c r="G135" i="12"/>
  <c r="D41" i="64" s="1"/>
  <c r="E41" i="64" s="1"/>
  <c r="D130" i="12"/>
  <c r="D133" i="12" s="1"/>
  <c r="G127" i="12" s="1"/>
  <c r="D39" i="64" s="1"/>
  <c r="E39" i="64" s="1"/>
  <c r="D125" i="12"/>
  <c r="G118" i="12" s="1"/>
  <c r="D38" i="64" s="1"/>
  <c r="E38" i="64" s="1"/>
  <c r="G115" i="12"/>
  <c r="D36" i="64" s="1"/>
  <c r="E36" i="64" s="1"/>
  <c r="G112" i="12"/>
  <c r="D35" i="64" s="1"/>
  <c r="E35" i="64" s="1"/>
  <c r="G109" i="12"/>
  <c r="D33" i="64" s="1"/>
  <c r="E33" i="64" s="1"/>
  <c r="G106" i="12"/>
  <c r="D32" i="64" s="1"/>
  <c r="E32" i="64" s="1"/>
  <c r="G103" i="12"/>
  <c r="D31" i="64" s="1"/>
  <c r="E31" i="64" s="1"/>
  <c r="G100" i="12"/>
  <c r="D25" i="64" s="1"/>
  <c r="E25" i="64" s="1"/>
  <c r="D95" i="12"/>
  <c r="D98" i="12" s="1"/>
  <c r="G94" i="12" s="1"/>
  <c r="D24" i="64" s="1"/>
  <c r="E24" i="64" s="1"/>
  <c r="G91" i="12"/>
  <c r="D23" i="64" s="1"/>
  <c r="E23" i="64" s="1"/>
  <c r="D88" i="12"/>
  <c r="D86" i="12"/>
  <c r="D85" i="12"/>
  <c r="D84" i="12"/>
  <c r="D75" i="12"/>
  <c r="G74" i="12" s="1"/>
  <c r="D19" i="64" s="1"/>
  <c r="E19" i="64" s="1"/>
  <c r="D71" i="12"/>
  <c r="D70" i="12"/>
  <c r="D69" i="12"/>
  <c r="D65" i="12"/>
  <c r="D64" i="12"/>
  <c r="D66" i="12" s="1"/>
  <c r="G63" i="12" s="1"/>
  <c r="D17" i="64" s="1"/>
  <c r="E17" i="64" s="1"/>
  <c r="D61" i="12"/>
  <c r="G60" i="12"/>
  <c r="D16" i="64" s="1"/>
  <c r="E16" i="64" s="1"/>
  <c r="G45" i="12"/>
  <c r="D13" i="64" s="1"/>
  <c r="E13" i="64" s="1"/>
  <c r="C42" i="12"/>
  <c r="D42" i="12" s="1"/>
  <c r="D43" i="12" s="1"/>
  <c r="G41" i="12" s="1"/>
  <c r="D12" i="64" s="1"/>
  <c r="E12" i="64" s="1"/>
  <c r="C36" i="12"/>
  <c r="D36" i="12" s="1"/>
  <c r="C33" i="12"/>
  <c r="D33" i="12" s="1"/>
  <c r="C32" i="12"/>
  <c r="D32" i="12" s="1"/>
  <c r="C31" i="12"/>
  <c r="D31" i="12" s="1"/>
  <c r="C30" i="12"/>
  <c r="D30" i="12" s="1"/>
  <c r="C29" i="12"/>
  <c r="D29" i="12" s="1"/>
  <c r="C28" i="12"/>
  <c r="C27" i="12"/>
  <c r="D27" i="12" s="1"/>
  <c r="C26" i="12"/>
  <c r="D26" i="12" s="1"/>
  <c r="C25" i="12"/>
  <c r="D25" i="12" s="1"/>
  <c r="C22" i="12"/>
  <c r="D22" i="12" s="1"/>
  <c r="C21" i="12"/>
  <c r="D21" i="12" s="1"/>
  <c r="C20" i="12"/>
  <c r="D20" i="12" s="1"/>
  <c r="C19" i="12"/>
  <c r="D19" i="12" s="1"/>
  <c r="C18" i="12"/>
  <c r="D18" i="12" s="1"/>
  <c r="D13" i="12"/>
  <c r="C12" i="12"/>
  <c r="D12" i="12" s="1"/>
  <c r="C11" i="12"/>
  <c r="D11" i="12" s="1"/>
  <c r="C10" i="12"/>
  <c r="D10" i="12" s="1"/>
  <c r="C9" i="12"/>
  <c r="C8" i="12"/>
  <c r="D8" i="12" s="1"/>
  <c r="C7" i="12"/>
  <c r="D7" i="12" s="1"/>
  <c r="D121" i="64" l="1"/>
  <c r="E121" i="64" s="1"/>
  <c r="G257" i="12"/>
  <c r="D72" i="12"/>
  <c r="G68" i="12" s="1"/>
  <c r="D18" i="64" s="1"/>
  <c r="E18" i="64" s="1"/>
  <c r="C37" i="12"/>
  <c r="D37" i="12" s="1"/>
  <c r="B87" i="12" s="1"/>
  <c r="D87" i="12" s="1"/>
  <c r="D89" i="12" s="1"/>
  <c r="G83" i="12" s="1"/>
  <c r="D21" i="64" s="1"/>
  <c r="E21" i="64" s="1"/>
  <c r="B80" i="12"/>
  <c r="D80" i="12" s="1"/>
  <c r="B57" i="12"/>
  <c r="D57" i="12" s="1"/>
  <c r="B51" i="12"/>
  <c r="D51" i="12" s="1"/>
  <c r="D39" i="12"/>
  <c r="G16" i="12" s="1"/>
  <c r="B56" i="12"/>
  <c r="D56" i="12" s="1"/>
  <c r="D14" i="12"/>
  <c r="G6" i="12" s="1"/>
  <c r="B78" i="12" l="1"/>
  <c r="D78" i="12" s="1"/>
  <c r="B55" i="12"/>
  <c r="D55" i="12" s="1"/>
  <c r="D58" i="12" s="1"/>
  <c r="G54" i="12" s="1"/>
  <c r="D15" i="64" s="1"/>
  <c r="E15" i="64" s="1"/>
  <c r="B49" i="12"/>
  <c r="D49" i="12" s="1"/>
  <c r="B50" i="12"/>
  <c r="D50" i="12" s="1"/>
  <c r="B79" i="12"/>
  <c r="D79" i="12" s="1"/>
  <c r="D52" i="12" l="1"/>
  <c r="G48" i="12" s="1"/>
  <c r="D81" i="12"/>
  <c r="G77" i="12" s="1"/>
  <c r="D20" i="64" s="1"/>
  <c r="E20" i="64" s="1"/>
  <c r="G248" i="12" l="1"/>
  <c r="E15" i="38" s="1"/>
  <c r="D14" i="64"/>
  <c r="E14" i="64" s="1"/>
  <c r="G255" i="12"/>
  <c r="G124" i="2"/>
  <c r="D108" i="2"/>
  <c r="C108" i="2"/>
  <c r="B108" i="2"/>
  <c r="D103" i="2"/>
  <c r="C103" i="2"/>
  <c r="B103" i="2"/>
  <c r="D96" i="2"/>
  <c r="C96" i="2"/>
  <c r="B96" i="2"/>
  <c r="D79" i="2"/>
  <c r="D70" i="2"/>
  <c r="D245" i="11" l="1"/>
  <c r="C245" i="11"/>
  <c r="B245" i="11"/>
  <c r="B231" i="11"/>
  <c r="B234" i="11" s="1"/>
  <c r="D231" i="11"/>
  <c r="D234" i="11" s="1"/>
  <c r="C229" i="11"/>
  <c r="C231" i="11" s="1"/>
  <c r="C234" i="11" s="1"/>
  <c r="D200" i="11"/>
  <c r="D203" i="11" s="1"/>
  <c r="C179" i="11"/>
  <c r="D178" i="11"/>
  <c r="D180" i="11" s="1"/>
  <c r="D182" i="11" s="1"/>
  <c r="D185" i="11" s="1"/>
  <c r="C178" i="11"/>
  <c r="B178" i="11"/>
  <c r="B180" i="11" s="1"/>
  <c r="B182" i="11" s="1"/>
  <c r="B185" i="11" s="1"/>
  <c r="D154" i="11"/>
  <c r="D145" i="11"/>
  <c r="D131" i="11"/>
  <c r="D125" i="11"/>
  <c r="D119" i="11"/>
  <c r="D113" i="11"/>
  <c r="D104" i="11"/>
  <c r="D99" i="11"/>
  <c r="D88" i="11"/>
  <c r="D69" i="11"/>
  <c r="D67" i="11"/>
  <c r="D66" i="11"/>
  <c r="D65" i="11"/>
  <c r="D54" i="11"/>
  <c r="D51" i="11"/>
  <c r="D47" i="11"/>
  <c r="D46" i="11"/>
  <c r="D48" i="11" s="1"/>
  <c r="D43" i="11"/>
  <c r="D28" i="11"/>
  <c r="B61" i="11" s="1"/>
  <c r="D61" i="11" s="1"/>
  <c r="D24" i="11"/>
  <c r="D22" i="11"/>
  <c r="D21" i="11"/>
  <c r="D20" i="11"/>
  <c r="D19" i="11"/>
  <c r="C180" i="11" l="1"/>
  <c r="C182" i="11" s="1"/>
  <c r="C185" i="11" s="1"/>
  <c r="B34" i="11"/>
  <c r="D34" i="11" s="1"/>
  <c r="D25" i="11"/>
  <c r="B33" i="11" s="1"/>
  <c r="D33" i="11" s="1"/>
  <c r="B60" i="11"/>
  <c r="D60" i="11" s="1"/>
  <c r="B68" i="11"/>
  <c r="D68" i="11" s="1"/>
  <c r="D70" i="11" s="1"/>
  <c r="B59" i="11"/>
  <c r="D59" i="11" s="1"/>
  <c r="D122" i="4" l="1"/>
  <c r="D63" i="4"/>
  <c r="D302" i="4"/>
  <c r="D291" i="4"/>
  <c r="D284" i="4"/>
  <c r="D286" i="4" s="1"/>
  <c r="E275" i="4"/>
  <c r="D273" i="4"/>
  <c r="D268" i="4"/>
  <c r="D260" i="4"/>
  <c r="D249" i="4"/>
  <c r="D241" i="4"/>
  <c r="D233" i="4"/>
  <c r="D224" i="4"/>
  <c r="D209" i="4"/>
  <c r="D196" i="4"/>
  <c r="D184" i="4"/>
  <c r="D183" i="4"/>
  <c r="D182" i="4"/>
  <c r="D181" i="4"/>
  <c r="D179" i="4"/>
  <c r="D178" i="4"/>
  <c r="D177" i="4"/>
  <c r="D176" i="4"/>
  <c r="D174" i="4"/>
  <c r="D171" i="4"/>
  <c r="D163" i="4"/>
  <c r="D155" i="4"/>
  <c r="D154" i="4"/>
  <c r="D153" i="4"/>
  <c r="D152" i="4"/>
  <c r="A143" i="4"/>
  <c r="D137" i="4"/>
  <c r="D136" i="4"/>
  <c r="D135" i="4"/>
  <c r="D131" i="4"/>
  <c r="D130" i="4"/>
  <c r="D129" i="4"/>
  <c r="D128" i="4"/>
  <c r="D124" i="4"/>
  <c r="D123" i="4"/>
  <c r="D121" i="4"/>
  <c r="D120" i="4"/>
  <c r="D115" i="4"/>
  <c r="D114" i="4"/>
  <c r="D113" i="4"/>
  <c r="D112" i="4"/>
  <c r="D81" i="4"/>
  <c r="D80" i="4"/>
  <c r="D76" i="4"/>
  <c r="D77" i="4" s="1"/>
  <c r="B96" i="4" s="1"/>
  <c r="D83" i="4" l="1"/>
  <c r="B97" i="4" s="1"/>
  <c r="D97" i="4" s="1"/>
  <c r="D185" i="4"/>
  <c r="D132" i="4"/>
  <c r="E311" i="4"/>
  <c r="D117" i="4"/>
  <c r="D138" i="4"/>
  <c r="D125" i="4"/>
  <c r="B107" i="4"/>
  <c r="D96" i="4"/>
  <c r="B147" i="4"/>
  <c r="D147" i="4" s="1"/>
  <c r="B156" i="4"/>
  <c r="D156" i="4" s="1"/>
  <c r="D157" i="4" s="1"/>
  <c r="D107" i="4" l="1"/>
  <c r="B146" i="4"/>
  <c r="D146" i="4" s="1"/>
  <c r="H22" i="59" l="1"/>
  <c r="Z14" i="54" l="1"/>
  <c r="I50" i="59" l="1"/>
  <c r="G70" i="59"/>
  <c r="G55" i="59"/>
  <c r="Y243" i="54" l="1"/>
  <c r="Y140" i="54"/>
  <c r="Y136" i="54"/>
  <c r="Y133" i="54"/>
  <c r="Y137" i="54"/>
  <c r="Y100" i="54"/>
  <c r="Y101" i="54"/>
  <c r="Y46" i="54"/>
  <c r="Y56" i="54"/>
  <c r="Z239" i="54"/>
  <c r="Z215" i="54"/>
  <c r="Z200" i="54"/>
  <c r="Z190" i="54"/>
  <c r="Z179" i="54"/>
  <c r="Z148" i="54"/>
  <c r="X239" i="54"/>
  <c r="W239" i="54"/>
  <c r="V239" i="54"/>
  <c r="U239" i="54"/>
  <c r="X215" i="54"/>
  <c r="W215" i="54"/>
  <c r="V215" i="54"/>
  <c r="U215" i="54"/>
  <c r="X200" i="54"/>
  <c r="W200" i="54"/>
  <c r="V200" i="54"/>
  <c r="U200" i="54"/>
  <c r="X190" i="54"/>
  <c r="W190" i="54"/>
  <c r="V190" i="54"/>
  <c r="U190" i="54"/>
  <c r="W179" i="54"/>
  <c r="V179" i="54"/>
  <c r="U179" i="54"/>
  <c r="X177" i="54"/>
  <c r="X171" i="54"/>
  <c r="X179" i="54" s="1"/>
  <c r="V148" i="54"/>
  <c r="U148" i="54"/>
  <c r="X142" i="54"/>
  <c r="X140" i="54"/>
  <c r="X137" i="54"/>
  <c r="X136" i="54"/>
  <c r="X133" i="54"/>
  <c r="X125" i="54"/>
  <c r="X100" i="54"/>
  <c r="X96" i="54"/>
  <c r="X82" i="54"/>
  <c r="X56" i="54"/>
  <c r="X148" i="54" s="1"/>
  <c r="X44" i="54"/>
  <c r="X38" i="54"/>
  <c r="W33" i="54"/>
  <c r="W148" i="54" s="1"/>
  <c r="H77" i="59"/>
  <c r="H65" i="59"/>
  <c r="H58" i="59"/>
  <c r="H50" i="59"/>
  <c r="H38" i="59"/>
  <c r="F77" i="59"/>
  <c r="E77" i="59"/>
  <c r="D77" i="59"/>
  <c r="C77" i="59"/>
  <c r="F65" i="59"/>
  <c r="E65" i="59"/>
  <c r="D65" i="59"/>
  <c r="C65" i="59"/>
  <c r="F58" i="59"/>
  <c r="E58" i="59"/>
  <c r="D58" i="59"/>
  <c r="C58" i="59"/>
  <c r="F50" i="59"/>
  <c r="E50" i="59"/>
  <c r="D50" i="59"/>
  <c r="C50" i="59"/>
  <c r="F38" i="59"/>
  <c r="D38" i="59"/>
  <c r="C38" i="59"/>
  <c r="F36" i="59"/>
  <c r="E36" i="59"/>
  <c r="E38" i="59" s="1"/>
  <c r="H83" i="59" l="1"/>
  <c r="U217" i="54"/>
  <c r="Z217" i="54"/>
  <c r="V217" i="54"/>
  <c r="W217" i="54"/>
  <c r="X217" i="54"/>
  <c r="D79" i="59"/>
  <c r="F79" i="59"/>
  <c r="C79" i="59"/>
  <c r="H79" i="59"/>
  <c r="E79" i="59"/>
  <c r="AE15" i="55"/>
  <c r="V32" i="55"/>
  <c r="S32" i="55"/>
  <c r="S28" i="55"/>
  <c r="V28" i="55" s="1"/>
  <c r="W26" i="55"/>
  <c r="W30" i="55" s="1"/>
  <c r="W34" i="55" s="1"/>
  <c r="T26" i="55"/>
  <c r="T30" i="55" s="1"/>
  <c r="T34" i="55" s="1"/>
  <c r="Q26" i="55"/>
  <c r="Q30" i="55" s="1"/>
  <c r="Q34" i="55" s="1"/>
  <c r="U25" i="55"/>
  <c r="U26" i="55" s="1"/>
  <c r="U30" i="55" s="1"/>
  <c r="U34" i="55" s="1"/>
  <c r="R25" i="55"/>
  <c r="R26" i="55" s="1"/>
  <c r="R30" i="55" s="1"/>
  <c r="R34" i="55" s="1"/>
  <c r="S24" i="55"/>
  <c r="V24" i="55" s="1"/>
  <c r="S22" i="55"/>
  <c r="V22" i="55" s="1"/>
  <c r="S21" i="55"/>
  <c r="V21" i="55" s="1"/>
  <c r="S20" i="55"/>
  <c r="V20" i="55" s="1"/>
  <c r="S19" i="55"/>
  <c r="V19" i="55" s="1"/>
  <c r="S18" i="55"/>
  <c r="V18" i="55" s="1"/>
  <c r="S17" i="55"/>
  <c r="V17" i="55" s="1"/>
  <c r="S16" i="55"/>
  <c r="V16" i="55" s="1"/>
  <c r="S15" i="55"/>
  <c r="V15" i="55" s="1"/>
  <c r="S14" i="55"/>
  <c r="V14" i="55" s="1"/>
  <c r="S13" i="55"/>
  <c r="V13" i="55" s="1"/>
  <c r="S12" i="55"/>
  <c r="V12" i="55" s="1"/>
  <c r="S11" i="55"/>
  <c r="V11" i="55" s="1"/>
  <c r="V10" i="55"/>
  <c r="S10" i="55"/>
  <c r="S9" i="55"/>
  <c r="V9" i="55" s="1"/>
  <c r="S8" i="55"/>
  <c r="V8" i="55" s="1"/>
  <c r="S7" i="55"/>
  <c r="V7" i="55" s="1"/>
  <c r="S6" i="55"/>
  <c r="V6" i="55" s="1"/>
  <c r="S25" i="55" l="1"/>
  <c r="V25" i="55" s="1"/>
  <c r="V26" i="55"/>
  <c r="V30" i="55" s="1"/>
  <c r="V34" i="55" s="1"/>
  <c r="S26" i="55"/>
  <c r="S30" i="55" s="1"/>
  <c r="S34" i="55" s="1"/>
  <c r="E379" i="3" l="1"/>
  <c r="D190" i="1"/>
  <c r="D198" i="1" s="1"/>
  <c r="F375" i="3"/>
  <c r="C271" i="1"/>
  <c r="C275" i="1" s="1"/>
  <c r="B271" i="1"/>
  <c r="B275" i="1" s="1"/>
  <c r="C264" i="1"/>
  <c r="B264" i="1"/>
  <c r="C253" i="1"/>
  <c r="B253" i="1"/>
  <c r="C235" i="1"/>
  <c r="B235" i="1"/>
  <c r="C234" i="1"/>
  <c r="B234" i="1"/>
  <c r="C233" i="1"/>
  <c r="B233" i="1"/>
  <c r="C232" i="1"/>
  <c r="B232" i="1"/>
  <c r="C213" i="1"/>
  <c r="C214" i="1" s="1"/>
  <c r="C217" i="1" s="1"/>
  <c r="C219" i="1" s="1"/>
  <c r="B213" i="1"/>
  <c r="B214" i="1" s="1"/>
  <c r="B217" i="1" s="1"/>
  <c r="B219" i="1" s="1"/>
  <c r="B197" i="1"/>
  <c r="B192" i="1"/>
  <c r="C190" i="1"/>
  <c r="C198" i="1" s="1"/>
  <c r="B190" i="1"/>
  <c r="C187" i="1"/>
  <c r="B186" i="1"/>
  <c r="B187" i="1" s="1"/>
  <c r="C176" i="1"/>
  <c r="B176" i="1"/>
  <c r="C160" i="1"/>
  <c r="B160" i="1"/>
  <c r="C152" i="1"/>
  <c r="B152" i="1"/>
  <c r="C145" i="1"/>
  <c r="B145" i="1"/>
  <c r="C137" i="1"/>
  <c r="B137" i="1"/>
  <c r="C130" i="1"/>
  <c r="B130" i="1"/>
  <c r="B121" i="1"/>
  <c r="C118" i="1"/>
  <c r="C121" i="1" s="1"/>
  <c r="C114" i="1"/>
  <c r="B114" i="1"/>
  <c r="C109" i="1"/>
  <c r="B109" i="1"/>
  <c r="B243" i="1" l="1"/>
  <c r="C243" i="1"/>
  <c r="B198" i="1"/>
  <c r="E378" i="3"/>
  <c r="E375" i="3"/>
  <c r="F150" i="53" l="1"/>
  <c r="E150" i="53"/>
  <c r="E110" i="37"/>
  <c r="E342" i="9"/>
  <c r="C31" i="38" s="1"/>
  <c r="F92" i="17"/>
  <c r="E151" i="16"/>
  <c r="F379" i="3"/>
  <c r="D130" i="64"/>
  <c r="D126" i="64"/>
  <c r="D118" i="64"/>
  <c r="D117" i="64"/>
  <c r="D116" i="64"/>
  <c r="D115" i="64"/>
  <c r="D114" i="64"/>
  <c r="D113" i="64"/>
  <c r="D112" i="64"/>
  <c r="D111" i="64"/>
  <c r="D110" i="64"/>
  <c r="D109" i="64"/>
  <c r="D108" i="64"/>
  <c r="D107" i="64"/>
  <c r="D106" i="64"/>
  <c r="D105" i="64"/>
  <c r="D104" i="64"/>
  <c r="D103" i="64"/>
  <c r="D102" i="64"/>
  <c r="E100" i="64"/>
  <c r="D99" i="64"/>
  <c r="D95" i="64"/>
  <c r="D92" i="64"/>
  <c r="D91" i="64"/>
  <c r="D89" i="64"/>
  <c r="D87" i="64"/>
  <c r="D86" i="64"/>
  <c r="D85" i="64"/>
  <c r="D84" i="64"/>
  <c r="D83" i="64"/>
  <c r="D80" i="64"/>
  <c r="D79" i="64"/>
  <c r="D78" i="64"/>
  <c r="D75" i="64"/>
  <c r="D74" i="64"/>
  <c r="D73" i="64"/>
  <c r="D72" i="64"/>
  <c r="D70" i="64"/>
  <c r="D69" i="64"/>
  <c r="D64" i="64"/>
  <c r="D59" i="64"/>
  <c r="E53" i="64"/>
  <c r="D45" i="64"/>
  <c r="D44" i="64"/>
  <c r="D42" i="64"/>
  <c r="D40" i="64"/>
  <c r="D34" i="64"/>
  <c r="D29" i="64"/>
  <c r="D28" i="64"/>
  <c r="D22" i="64"/>
  <c r="D11" i="64"/>
  <c r="D9" i="64"/>
  <c r="D8" i="64"/>
  <c r="D7" i="64"/>
  <c r="D6" i="64"/>
  <c r="E109" i="64" l="1"/>
  <c r="C132" i="64"/>
  <c r="E117" i="64"/>
  <c r="E75" i="64"/>
  <c r="E27" i="64"/>
  <c r="E44" i="64"/>
  <c r="E87" i="64"/>
  <c r="E9" i="64"/>
  <c r="E30" i="64"/>
  <c r="E6" i="64"/>
  <c r="E10" i="64"/>
  <c r="E34" i="64"/>
  <c r="E59" i="64"/>
  <c r="E78" i="64"/>
  <c r="E88" i="64"/>
  <c r="E102" i="64"/>
  <c r="E110" i="64"/>
  <c r="E118" i="64"/>
  <c r="E11" i="64"/>
  <c r="E37" i="64"/>
  <c r="E64" i="64"/>
  <c r="E79" i="64"/>
  <c r="E89" i="64"/>
  <c r="E103" i="64"/>
  <c r="E111" i="64"/>
  <c r="E126" i="64"/>
  <c r="E22" i="64"/>
  <c r="E40" i="64"/>
  <c r="E69" i="64"/>
  <c r="E80" i="64"/>
  <c r="E90" i="64"/>
  <c r="E104" i="64"/>
  <c r="E112" i="64"/>
  <c r="E26" i="64"/>
  <c r="E42" i="64"/>
  <c r="E70" i="64"/>
  <c r="E83" i="64"/>
  <c r="E91" i="64"/>
  <c r="E105" i="64"/>
  <c r="E113" i="64"/>
  <c r="E72" i="64"/>
  <c r="E84" i="64"/>
  <c r="E92" i="64"/>
  <c r="E106" i="64"/>
  <c r="E114" i="64"/>
  <c r="E130" i="64"/>
  <c r="E7" i="64"/>
  <c r="E28" i="64"/>
  <c r="E45" i="64"/>
  <c r="E73" i="64"/>
  <c r="E85" i="64"/>
  <c r="E95" i="64"/>
  <c r="E107" i="64"/>
  <c r="E115" i="64"/>
  <c r="E8" i="64"/>
  <c r="E29" i="64"/>
  <c r="E48" i="64"/>
  <c r="E74" i="64"/>
  <c r="E86" i="64"/>
  <c r="E99" i="64"/>
  <c r="E108" i="64"/>
  <c r="E116" i="64"/>
  <c r="C35" i="9" l="1"/>
  <c r="C34" i="9"/>
  <c r="C33" i="9"/>
  <c r="C32" i="9"/>
  <c r="C31" i="9"/>
  <c r="C26" i="9"/>
  <c r="C25" i="9"/>
  <c r="C24" i="9"/>
  <c r="C16" i="9"/>
  <c r="C15" i="9"/>
  <c r="C13" i="9"/>
  <c r="C12" i="9"/>
  <c r="C7" i="9"/>
  <c r="C15" i="13" l="1"/>
  <c r="C14" i="13"/>
  <c r="C13" i="13"/>
  <c r="C7" i="13"/>
  <c r="C18" i="8"/>
  <c r="C17" i="8"/>
  <c r="C16" i="8"/>
  <c r="C15" i="8"/>
  <c r="C8" i="8"/>
  <c r="C7" i="8"/>
  <c r="C30" i="7"/>
  <c r="C38" i="7"/>
  <c r="C37" i="7"/>
  <c r="C36" i="7"/>
  <c r="C33" i="7"/>
  <c r="C29" i="7"/>
  <c r="C28" i="7"/>
  <c r="C27" i="7"/>
  <c r="C26" i="7"/>
  <c r="C25" i="7"/>
  <c r="C24" i="7"/>
  <c r="C23" i="7"/>
  <c r="C22" i="7"/>
  <c r="C21" i="7"/>
  <c r="C20" i="7"/>
  <c r="C14" i="7"/>
  <c r="C13" i="7"/>
  <c r="C12" i="7"/>
  <c r="C7" i="7"/>
  <c r="C18" i="5"/>
  <c r="C17" i="5"/>
  <c r="C16" i="5"/>
  <c r="C22" i="5" s="1"/>
  <c r="C15" i="5"/>
  <c r="C14" i="5"/>
  <c r="C13" i="5"/>
  <c r="C12" i="5"/>
  <c r="C64" i="4"/>
  <c r="C58" i="4"/>
  <c r="C57" i="4"/>
  <c r="C56" i="4"/>
  <c r="C55" i="4"/>
  <c r="C54" i="4"/>
  <c r="C53" i="4"/>
  <c r="C65" i="4"/>
  <c r="C52" i="4"/>
  <c r="C51" i="4"/>
  <c r="C50" i="4"/>
  <c r="C49" i="4"/>
  <c r="C48" i="4"/>
  <c r="C47" i="4"/>
  <c r="C46" i="4"/>
  <c r="C45" i="4"/>
  <c r="C44" i="4"/>
  <c r="C42" i="4"/>
  <c r="C41" i="4"/>
  <c r="C40" i="4"/>
  <c r="C39" i="4"/>
  <c r="C38" i="4"/>
  <c r="C37" i="4"/>
  <c r="C36" i="4"/>
  <c r="C35" i="4"/>
  <c r="C34" i="4"/>
  <c r="C33" i="4"/>
  <c r="C32" i="4"/>
  <c r="C31" i="4"/>
  <c r="C30" i="4"/>
  <c r="C29" i="4"/>
  <c r="C43" i="4"/>
  <c r="C23" i="4"/>
  <c r="C22" i="4"/>
  <c r="C21" i="4"/>
  <c r="C20" i="4"/>
  <c r="C19" i="4"/>
  <c r="C18" i="4"/>
  <c r="C7" i="5"/>
  <c r="C10" i="4"/>
  <c r="C9" i="4"/>
  <c r="C67" i="4" l="1"/>
  <c r="C86" i="4" s="1"/>
  <c r="D86" i="4" s="1"/>
  <c r="D88" i="4" s="1"/>
  <c r="C73" i="4"/>
  <c r="D73" i="4" s="1"/>
  <c r="B106" i="4" s="1"/>
  <c r="B95" i="4"/>
  <c r="D95" i="4" s="1"/>
  <c r="B98" i="4"/>
  <c r="D98" i="4" s="1"/>
  <c r="B108" i="4"/>
  <c r="D108" i="4" s="1"/>
  <c r="B148" i="4"/>
  <c r="D148" i="4" s="1"/>
  <c r="C23" i="3"/>
  <c r="C22" i="3"/>
  <c r="C20" i="3"/>
  <c r="C19" i="3"/>
  <c r="C18" i="3"/>
  <c r="C17" i="3"/>
  <c r="C16" i="3"/>
  <c r="C15" i="3"/>
  <c r="D26" i="1"/>
  <c r="D25" i="1"/>
  <c r="D24" i="1"/>
  <c r="D23" i="1"/>
  <c r="D22" i="1"/>
  <c r="D21" i="1"/>
  <c r="D16" i="1"/>
  <c r="D15" i="1"/>
  <c r="D14" i="1"/>
  <c r="D12" i="1"/>
  <c r="D13" i="1"/>
  <c r="B145" i="4" l="1"/>
  <c r="D145" i="4" s="1"/>
  <c r="D106" i="4"/>
  <c r="E161" i="15"/>
  <c r="F161" i="15"/>
  <c r="E160" i="15"/>
  <c r="F156" i="15"/>
  <c r="D18" i="38" s="1"/>
  <c r="C15" i="38"/>
  <c r="E253" i="12"/>
  <c r="E253" i="11"/>
  <c r="E142" i="6"/>
  <c r="E308" i="4"/>
  <c r="E252" i="12" l="1"/>
  <c r="E345" i="9" l="1"/>
  <c r="E346" i="9"/>
  <c r="E155" i="16"/>
  <c r="E6" i="14"/>
  <c r="E230" i="8"/>
  <c r="E150" i="14" l="1"/>
  <c r="E372" i="3" l="1"/>
  <c r="E124" i="2" l="1"/>
  <c r="F155" i="16" l="1"/>
  <c r="F253" i="11"/>
  <c r="D14" i="38" s="1"/>
  <c r="F230" i="8"/>
  <c r="D13" i="38"/>
  <c r="E125" i="64"/>
  <c r="F124" i="2"/>
  <c r="F122" i="2"/>
  <c r="G153" i="16" l="1"/>
  <c r="G154" i="16"/>
  <c r="G155" i="16"/>
  <c r="I155" i="16"/>
  <c r="J155" i="16"/>
  <c r="J230" i="8"/>
  <c r="I28" i="38"/>
  <c r="E7" i="66"/>
  <c r="AB123" i="54"/>
  <c r="Z272" i="54"/>
  <c r="G156" i="16" l="1"/>
  <c r="D47" i="7" l="1"/>
  <c r="D57" i="7"/>
  <c r="J161" i="15" l="1"/>
  <c r="J156" i="15"/>
  <c r="H18" i="38" s="1"/>
  <c r="J225" i="8"/>
  <c r="H13" i="38" s="1"/>
  <c r="D372" i="3"/>
  <c r="J124" i="2"/>
  <c r="J120" i="2"/>
  <c r="H6" i="38" s="1"/>
  <c r="J346" i="9" l="1"/>
  <c r="I346" i="9"/>
  <c r="I345" i="9"/>
  <c r="J345" i="9"/>
  <c r="H21" i="38"/>
  <c r="J131" i="13"/>
  <c r="J229" i="8"/>
  <c r="I229" i="8"/>
  <c r="J158" i="5"/>
  <c r="J157" i="5"/>
  <c r="H26" i="38"/>
  <c r="H25" i="38"/>
  <c r="AA148" i="54" l="1"/>
  <c r="I165" i="60" l="1"/>
  <c r="I114" i="37"/>
  <c r="I113" i="37"/>
  <c r="I112" i="37"/>
  <c r="I110" i="37"/>
  <c r="I344" i="9"/>
  <c r="I347" i="9" s="1"/>
  <c r="F61" i="18"/>
  <c r="F64" i="18" s="1"/>
  <c r="F63" i="18"/>
  <c r="J96" i="17"/>
  <c r="J95" i="17"/>
  <c r="J94" i="17"/>
  <c r="J92" i="17"/>
  <c r="J90" i="17"/>
  <c r="I154" i="16"/>
  <c r="I153" i="16"/>
  <c r="I151" i="16"/>
  <c r="I160" i="15"/>
  <c r="I159" i="15"/>
  <c r="G18" i="38"/>
  <c r="L18" i="38" s="1"/>
  <c r="N18" i="38" s="1"/>
  <c r="I154" i="14"/>
  <c r="I153" i="14"/>
  <c r="I152" i="14"/>
  <c r="I150" i="14"/>
  <c r="G17" i="38" s="1"/>
  <c r="L17" i="38" s="1"/>
  <c r="N17" i="38" s="1"/>
  <c r="I132" i="13"/>
  <c r="I131" i="13"/>
  <c r="I130" i="13"/>
  <c r="I127" i="13"/>
  <c r="G16" i="38" s="1"/>
  <c r="L16" i="38" s="1"/>
  <c r="N16" i="38" s="1"/>
  <c r="I256" i="12"/>
  <c r="I257" i="11"/>
  <c r="I256" i="11"/>
  <c r="I255" i="11"/>
  <c r="I253" i="11"/>
  <c r="G14" i="38" s="1"/>
  <c r="L14" i="38" s="1"/>
  <c r="N14" i="38" s="1"/>
  <c r="I228" i="8"/>
  <c r="D29" i="7"/>
  <c r="I133" i="13" l="1"/>
  <c r="I115" i="37"/>
  <c r="I252" i="12"/>
  <c r="G15" i="38"/>
  <c r="L15" i="38" s="1"/>
  <c r="N15" i="38" s="1"/>
  <c r="J97" i="17"/>
  <c r="J101" i="17" s="1"/>
  <c r="I156" i="16"/>
  <c r="I162" i="15"/>
  <c r="I165" i="15" s="1"/>
  <c r="I155" i="14"/>
  <c r="I158" i="14" s="1"/>
  <c r="I258" i="12"/>
  <c r="I258" i="11"/>
  <c r="I261" i="11" s="1"/>
  <c r="F65" i="18"/>
  <c r="I231" i="8"/>
  <c r="D33" i="7"/>
  <c r="G12" i="38"/>
  <c r="L12" i="38" s="1"/>
  <c r="N12" i="38" s="1"/>
  <c r="I146" i="6"/>
  <c r="I145" i="6"/>
  <c r="I144" i="6"/>
  <c r="I142" i="6"/>
  <c r="G11" i="38" s="1"/>
  <c r="L11" i="38" s="1"/>
  <c r="N11" i="38" s="1"/>
  <c r="I154" i="53"/>
  <c r="I153" i="53"/>
  <c r="I152" i="53"/>
  <c r="I150" i="53"/>
  <c r="G10" i="38" s="1"/>
  <c r="L10" i="38" s="1"/>
  <c r="N10" i="38" s="1"/>
  <c r="I158" i="5"/>
  <c r="I157" i="5"/>
  <c r="I310" i="4"/>
  <c r="I313" i="4" s="1"/>
  <c r="I308" i="4"/>
  <c r="I123" i="2"/>
  <c r="I122" i="2"/>
  <c r="G6" i="38"/>
  <c r="L6" i="38" s="1"/>
  <c r="N6" i="38" s="1"/>
  <c r="I282" i="1"/>
  <c r="I281" i="1"/>
  <c r="I280" i="1"/>
  <c r="I278" i="1"/>
  <c r="L5" i="38" s="1"/>
  <c r="N5" i="38" s="1"/>
  <c r="H45" i="65"/>
  <c r="G8" i="38" l="1"/>
  <c r="L8" i="38" s="1"/>
  <c r="N8" i="38" s="1"/>
  <c r="I316" i="4"/>
  <c r="I283" i="1"/>
  <c r="I287" i="1" s="1"/>
  <c r="I125" i="2"/>
  <c r="I128" i="2" s="1"/>
  <c r="I147" i="6"/>
  <c r="I150" i="6" s="1"/>
  <c r="I155" i="53"/>
  <c r="I158" i="53" s="1"/>
  <c r="I363" i="7"/>
  <c r="I366" i="7" s="1"/>
  <c r="I160" i="5"/>
  <c r="G9" i="38" s="1"/>
  <c r="L9" i="38" s="1"/>
  <c r="N9" i="38" s="1"/>
  <c r="K62" i="53" l="1"/>
  <c r="K61" i="53"/>
  <c r="K60" i="53"/>
  <c r="K59" i="53"/>
  <c r="K58" i="53"/>
  <c r="K57" i="53"/>
  <c r="K56" i="53"/>
  <c r="K55" i="53"/>
  <c r="K54" i="53"/>
  <c r="K53" i="53"/>
  <c r="K52" i="53"/>
  <c r="K51" i="53"/>
  <c r="K50" i="53"/>
  <c r="K49" i="53"/>
  <c r="K48" i="53"/>
  <c r="K47" i="53"/>
  <c r="K46" i="53"/>
  <c r="K45" i="53"/>
  <c r="K44" i="53"/>
  <c r="K43" i="53"/>
  <c r="K42" i="53"/>
  <c r="K41" i="53"/>
  <c r="K40" i="53"/>
  <c r="K39" i="53"/>
  <c r="K38" i="53"/>
  <c r="K37" i="53"/>
  <c r="K36" i="53"/>
  <c r="K35" i="53"/>
  <c r="K34" i="53"/>
  <c r="K33" i="53"/>
  <c r="K32" i="53"/>
  <c r="K31" i="53"/>
  <c r="K30" i="53"/>
  <c r="K29" i="53"/>
  <c r="K28" i="53"/>
  <c r="K27" i="53"/>
  <c r="K26" i="53"/>
  <c r="K25" i="53"/>
  <c r="K24" i="53"/>
  <c r="K23" i="53"/>
  <c r="K22" i="53"/>
  <c r="K21" i="5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46" i="3"/>
  <c r="K63" i="3"/>
  <c r="K62" i="3"/>
  <c r="K61" i="3"/>
  <c r="K60" i="3"/>
  <c r="K59" i="3"/>
  <c r="K58" i="3"/>
  <c r="K57" i="3"/>
  <c r="K49" i="3"/>
  <c r="K56" i="3"/>
  <c r="K48" i="3"/>
  <c r="K55" i="3"/>
  <c r="K45" i="3"/>
  <c r="K53" i="3"/>
  <c r="K52" i="3"/>
  <c r="K51" i="3"/>
  <c r="K47" i="3"/>
  <c r="K50" i="3"/>
  <c r="K54"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Y255" i="54"/>
  <c r="X255" i="54"/>
  <c r="Y253" i="54"/>
  <c r="X253" i="54"/>
  <c r="Y250" i="54"/>
  <c r="Y247" i="5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1" i="4"/>
  <c r="K80" i="4"/>
  <c r="K79" i="4"/>
  <c r="K78" i="4"/>
  <c r="K77" i="4"/>
  <c r="K76" i="4"/>
  <c r="K75" i="4"/>
  <c r="K74" i="4"/>
  <c r="K73" i="4"/>
  <c r="K72" i="4"/>
  <c r="K71" i="4"/>
  <c r="K70" i="4"/>
  <c r="K69" i="4"/>
  <c r="K68" i="4"/>
  <c r="K67" i="4"/>
  <c r="K66" i="4"/>
  <c r="K65" i="4"/>
  <c r="K64"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293" i="4"/>
  <c r="E159" i="15"/>
  <c r="E162" i="15" s="1"/>
  <c r="J152" i="14"/>
  <c r="G152" i="14"/>
  <c r="F152" i="14"/>
  <c r="J154" i="14"/>
  <c r="G154" i="14"/>
  <c r="F154" i="14"/>
  <c r="J153" i="14"/>
  <c r="G153" i="14"/>
  <c r="F153" i="14"/>
  <c r="G360" i="7"/>
  <c r="G363" i="7" s="1"/>
  <c r="E361" i="7"/>
  <c r="E360" i="7"/>
  <c r="K312" i="4" l="1"/>
  <c r="G155" i="14"/>
  <c r="K360" i="7"/>
  <c r="F155" i="14"/>
  <c r="J155" i="14"/>
  <c r="J158" i="14" s="1"/>
  <c r="J159" i="14" s="1"/>
  <c r="D23" i="3"/>
  <c r="D22" i="3"/>
  <c r="C21" i="3"/>
  <c r="D21" i="3" s="1"/>
  <c r="D20" i="3"/>
  <c r="D19" i="3"/>
  <c r="D18" i="3"/>
  <c r="D17" i="3"/>
  <c r="D16" i="3"/>
  <c r="D15" i="3"/>
  <c r="D12" i="3"/>
  <c r="D7" i="3"/>
  <c r="D9" i="3" s="1"/>
  <c r="G154" i="53"/>
  <c r="G153" i="53"/>
  <c r="G152" i="53"/>
  <c r="B73" i="53"/>
  <c r="D73" i="53" s="1"/>
  <c r="D23" i="53"/>
  <c r="D24" i="53" s="1"/>
  <c r="F154" i="53"/>
  <c r="E154" i="53"/>
  <c r="F153" i="53"/>
  <c r="E153" i="53"/>
  <c r="F152" i="53"/>
  <c r="E152" i="53"/>
  <c r="G150" i="53"/>
  <c r="E10" i="38" s="1"/>
  <c r="D72" i="53"/>
  <c r="D71" i="53"/>
  <c r="D70" i="53"/>
  <c r="D69" i="53"/>
  <c r="D58" i="53"/>
  <c r="D55" i="53"/>
  <c r="D51" i="53"/>
  <c r="D50" i="53"/>
  <c r="D47" i="53"/>
  <c r="C28" i="53"/>
  <c r="D28" i="53" s="1"/>
  <c r="C27" i="53"/>
  <c r="D27" i="53" s="1"/>
  <c r="D18" i="53"/>
  <c r="D17" i="53"/>
  <c r="D16" i="53"/>
  <c r="D11" i="53"/>
  <c r="D13" i="53" s="1"/>
  <c r="D7" i="53"/>
  <c r="D8" i="53" s="1"/>
  <c r="C74" i="3" l="1"/>
  <c r="D74" i="3" s="1"/>
  <c r="B108" i="3"/>
  <c r="B148" i="3"/>
  <c r="D148" i="3" s="1"/>
  <c r="D52" i="53"/>
  <c r="G155" i="53"/>
  <c r="D74" i="53"/>
  <c r="D29" i="53"/>
  <c r="B36" i="53" s="1"/>
  <c r="D36" i="53" s="1"/>
  <c r="C26" i="3"/>
  <c r="D26" i="3" s="1"/>
  <c r="D28" i="3" s="1"/>
  <c r="D19" i="53"/>
  <c r="B42" i="53" s="1"/>
  <c r="D42" i="53" s="1"/>
  <c r="F155" i="53"/>
  <c r="E155" i="53"/>
  <c r="B61" i="53"/>
  <c r="D61" i="53" s="1"/>
  <c r="B40" i="53"/>
  <c r="D40" i="53" s="1"/>
  <c r="B32" i="53"/>
  <c r="D32" i="53" s="1"/>
  <c r="B62" i="53"/>
  <c r="D62" i="53" s="1"/>
  <c r="B33" i="53"/>
  <c r="D33" i="53" s="1"/>
  <c r="B41" i="53"/>
  <c r="D41" i="53" s="1"/>
  <c r="D35" i="53"/>
  <c r="D64" i="53"/>
  <c r="C75" i="3" l="1"/>
  <c r="C76" i="3" s="1"/>
  <c r="D76" i="3" s="1"/>
  <c r="C77" i="3"/>
  <c r="D77" i="3" s="1"/>
  <c r="C78" i="3"/>
  <c r="D78" i="3" s="1"/>
  <c r="B109" i="3"/>
  <c r="B149" i="3"/>
  <c r="D149" i="3" s="1"/>
  <c r="B43" i="53"/>
  <c r="D43" i="53" s="1"/>
  <c r="D44" i="53" s="1"/>
  <c r="B65" i="53"/>
  <c r="D65" i="53" s="1"/>
  <c r="B117" i="3"/>
  <c r="D117" i="3" s="1"/>
  <c r="D108" i="3"/>
  <c r="B63" i="53"/>
  <c r="D63" i="53" s="1"/>
  <c r="B34" i="53"/>
  <c r="D34" i="53" s="1"/>
  <c r="D37" i="53" s="1"/>
  <c r="D66" i="53" l="1"/>
  <c r="D75" i="3"/>
  <c r="D79" i="3" s="1"/>
  <c r="B111" i="3" s="1"/>
  <c r="D111" i="3" s="1"/>
  <c r="D109" i="3"/>
  <c r="B118" i="3"/>
  <c r="D118" i="3" s="1"/>
  <c r="B120" i="3" l="1"/>
  <c r="D114" i="3"/>
  <c r="D120" i="3"/>
  <c r="D122" i="3" s="1"/>
  <c r="B151" i="3"/>
  <c r="D151" i="3" s="1"/>
  <c r="D154" i="3" s="1"/>
  <c r="AB211" i="54"/>
  <c r="AB210" i="54"/>
  <c r="AB209" i="54"/>
  <c r="AB208" i="54"/>
  <c r="AB147" i="54"/>
  <c r="AB146" i="54"/>
  <c r="AB145" i="54"/>
  <c r="AB144" i="54"/>
  <c r="AB143" i="54"/>
  <c r="AB142" i="54"/>
  <c r="AB141" i="54"/>
  <c r="AB140" i="54"/>
  <c r="AB139" i="54"/>
  <c r="AB138" i="54"/>
  <c r="AB137" i="54"/>
  <c r="AB136" i="54"/>
  <c r="AB135" i="54"/>
  <c r="AB134" i="54"/>
  <c r="AB133" i="54"/>
  <c r="AB132" i="54"/>
  <c r="AB131" i="54"/>
  <c r="AB130" i="54"/>
  <c r="AB129" i="54"/>
  <c r="AB128" i="54"/>
  <c r="AB127" i="54"/>
  <c r="AB126" i="54"/>
  <c r="AB125" i="54"/>
  <c r="AB124" i="54"/>
  <c r="AB122" i="54"/>
  <c r="AB121" i="54"/>
  <c r="AB120" i="54"/>
  <c r="AB119" i="54"/>
  <c r="AB118" i="54"/>
  <c r="AB117" i="54"/>
  <c r="AB116" i="54"/>
  <c r="AB115" i="54"/>
  <c r="AB114" i="54"/>
  <c r="AB113" i="54"/>
  <c r="AB110" i="54"/>
  <c r="AB109" i="54"/>
  <c r="AB108" i="54"/>
  <c r="AB107" i="54"/>
  <c r="AB106" i="54"/>
  <c r="AB105" i="54"/>
  <c r="AB104" i="54"/>
  <c r="AB103" i="54"/>
  <c r="AB102" i="54"/>
  <c r="AB101" i="54"/>
  <c r="AB100" i="54"/>
  <c r="AB99" i="54"/>
  <c r="AB98" i="54"/>
  <c r="AB97" i="54"/>
  <c r="AB96" i="54"/>
  <c r="AB95" i="54"/>
  <c r="AB94" i="54"/>
  <c r="AB93" i="54"/>
  <c r="AB92" i="54"/>
  <c r="AB91" i="54"/>
  <c r="AB90" i="54"/>
  <c r="AB89" i="54"/>
  <c r="AB88" i="54"/>
  <c r="AB87" i="54"/>
  <c r="AB86" i="54"/>
  <c r="AB85" i="54"/>
  <c r="AB84" i="54"/>
  <c r="AB83" i="54"/>
  <c r="AB82" i="54"/>
  <c r="AB81" i="54"/>
  <c r="AB80" i="54"/>
  <c r="AB79" i="54"/>
  <c r="AB78" i="54"/>
  <c r="AB77" i="54"/>
  <c r="AB76" i="54"/>
  <c r="AB75" i="54"/>
  <c r="AB74" i="54"/>
  <c r="AB73" i="54"/>
  <c r="AB72" i="54"/>
  <c r="AB71" i="54"/>
  <c r="AB70" i="54"/>
  <c r="AB69" i="54"/>
  <c r="AB68" i="54"/>
  <c r="AB67" i="54"/>
  <c r="AB66" i="54"/>
  <c r="AB65" i="54"/>
  <c r="AB64" i="54"/>
  <c r="AB63" i="54"/>
  <c r="AB62" i="54"/>
  <c r="AB61" i="54"/>
  <c r="AB58" i="54"/>
  <c r="AB57" i="54"/>
  <c r="AB56" i="54"/>
  <c r="AB55" i="54"/>
  <c r="AB54" i="54"/>
  <c r="AB53" i="54"/>
  <c r="AB52" i="54"/>
  <c r="AB51" i="54"/>
  <c r="AB50" i="54"/>
  <c r="AB49" i="54"/>
  <c r="AB48" i="54"/>
  <c r="AB47" i="54"/>
  <c r="AB46" i="54"/>
  <c r="AB45" i="54"/>
  <c r="AB44" i="54"/>
  <c r="AB43" i="54"/>
  <c r="AB42" i="54"/>
  <c r="AB41" i="54"/>
  <c r="AB40" i="54"/>
  <c r="AB39" i="54"/>
  <c r="AB38" i="54"/>
  <c r="AB37" i="54"/>
  <c r="AB36" i="54"/>
  <c r="AB35" i="54"/>
  <c r="AB34" i="54"/>
  <c r="AB33" i="54"/>
  <c r="AB32" i="54"/>
  <c r="AB31" i="54"/>
  <c r="AB30" i="54"/>
  <c r="AB29" i="54"/>
  <c r="AB28" i="54"/>
  <c r="AB27" i="54"/>
  <c r="AB26" i="54"/>
  <c r="AB25" i="54"/>
  <c r="AB24" i="54"/>
  <c r="AB23" i="54"/>
  <c r="AB22" i="54"/>
  <c r="AB21" i="54"/>
  <c r="AB20" i="54"/>
  <c r="AB19" i="54"/>
  <c r="AB18" i="54"/>
  <c r="AB17" i="54"/>
  <c r="AB16" i="54"/>
  <c r="AB15" i="54"/>
  <c r="AB14" i="54"/>
  <c r="AB13" i="54"/>
  <c r="AB12" i="54"/>
  <c r="AB11" i="54"/>
  <c r="AB10" i="54"/>
  <c r="E61" i="18"/>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H228" i="8"/>
  <c r="H229" i="8"/>
  <c r="D17" i="4"/>
  <c r="B93" i="4" s="1"/>
  <c r="G45" i="65"/>
  <c r="F45" i="65"/>
  <c r="F51" i="65" s="1"/>
  <c r="E45" i="65"/>
  <c r="E51" i="65" s="1"/>
  <c r="B38" i="65"/>
  <c r="K361" i="7"/>
  <c r="G112"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F43" i="38" l="1"/>
  <c r="G51" i="65"/>
  <c r="B145" i="64"/>
  <c r="B104" i="4"/>
  <c r="D93" i="4"/>
  <c r="I159" i="16"/>
  <c r="I163" i="5"/>
  <c r="H231" i="8"/>
  <c r="F145" i="64" l="1"/>
  <c r="D145" i="64"/>
  <c r="D104" i="4"/>
  <c r="B143" i="4"/>
  <c r="D143" i="4" s="1"/>
  <c r="D38" i="65"/>
  <c r="C38" i="65"/>
  <c r="D28" i="65" l="1"/>
  <c r="C28" i="65"/>
  <c r="B28" i="65"/>
  <c r="G157" i="5"/>
  <c r="D16" i="65"/>
  <c r="D271" i="1"/>
  <c r="D275" i="1" s="1"/>
  <c r="D7" i="65"/>
  <c r="C7" i="65"/>
  <c r="B7" i="65"/>
  <c r="D18"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K159" i="5" l="1"/>
  <c r="F158" i="5"/>
  <c r="K158" i="5" s="1"/>
  <c r="F157" i="5"/>
  <c r="K157" i="5" s="1"/>
  <c r="E158" i="5"/>
  <c r="E157" i="5"/>
  <c r="G158" i="5"/>
  <c r="D81" i="5"/>
  <c r="D80" i="5"/>
  <c r="D68" i="5"/>
  <c r="D67" i="5"/>
  <c r="D63" i="5"/>
  <c r="D62" i="5"/>
  <c r="D58" i="5"/>
  <c r="D57" i="5"/>
  <c r="D56" i="5"/>
  <c r="D52" i="5"/>
  <c r="D51" i="5"/>
  <c r="D30" i="5"/>
  <c r="D29" i="5"/>
  <c r="B82" i="5" s="1"/>
  <c r="D82" i="5" s="1"/>
  <c r="C26" i="5"/>
  <c r="D26" i="5" s="1"/>
  <c r="D22" i="5"/>
  <c r="D20" i="5"/>
  <c r="D17" i="5"/>
  <c r="D16" i="5"/>
  <c r="D15" i="5"/>
  <c r="D14" i="5"/>
  <c r="D13" i="5"/>
  <c r="D12" i="5"/>
  <c r="D11" i="5"/>
  <c r="D7" i="5"/>
  <c r="B38" i="5" s="1"/>
  <c r="D65" i="4"/>
  <c r="D64" i="4"/>
  <c r="D62" i="4"/>
  <c r="D57" i="4"/>
  <c r="D50" i="4"/>
  <c r="D49" i="4"/>
  <c r="D52" i="4"/>
  <c r="D53" i="4"/>
  <c r="D55" i="4"/>
  <c r="D61" i="4"/>
  <c r="D60" i="4"/>
  <c r="D54" i="4"/>
  <c r="D51" i="4"/>
  <c r="D56" i="4"/>
  <c r="D48" i="4"/>
  <c r="D47" i="4"/>
  <c r="D59" i="4"/>
  <c r="D46" i="4"/>
  <c r="D45" i="4"/>
  <c r="D58" i="4"/>
  <c r="D44" i="4"/>
  <c r="D43" i="4"/>
  <c r="D42" i="4"/>
  <c r="D41" i="4"/>
  <c r="D40" i="4"/>
  <c r="D39" i="4"/>
  <c r="D38" i="4"/>
  <c r="D37" i="4"/>
  <c r="D36" i="4"/>
  <c r="D35" i="4"/>
  <c r="D34" i="4"/>
  <c r="D33" i="4"/>
  <c r="D32" i="4"/>
  <c r="D31" i="4"/>
  <c r="D30" i="4"/>
  <c r="D29" i="4"/>
  <c r="D24" i="4"/>
  <c r="D23" i="4"/>
  <c r="D21" i="4"/>
  <c r="D20" i="4"/>
  <c r="D19" i="4"/>
  <c r="D18" i="4"/>
  <c r="D16" i="4"/>
  <c r="D15" i="4"/>
  <c r="D10" i="4"/>
  <c r="D9" i="4"/>
  <c r="D8" i="4"/>
  <c r="D7" i="4"/>
  <c r="D12" i="4" l="1"/>
  <c r="D23" i="5"/>
  <c r="D67" i="4"/>
  <c r="D69" i="4" s="1"/>
  <c r="D69" i="5"/>
  <c r="D53" i="5"/>
  <c r="D59" i="5"/>
  <c r="D83" i="5"/>
  <c r="D31" i="5"/>
  <c r="B75" i="5" s="1"/>
  <c r="D75" i="5" s="1"/>
  <c r="D64" i="5"/>
  <c r="D38" i="5"/>
  <c r="B72" i="5"/>
  <c r="D72" i="5" s="1"/>
  <c r="B74" i="5"/>
  <c r="D74" i="5" s="1"/>
  <c r="B40" i="5"/>
  <c r="D40" i="5" s="1"/>
  <c r="D8" i="5"/>
  <c r="C35" i="5"/>
  <c r="D35" i="5" s="1"/>
  <c r="D22" i="4"/>
  <c r="D26" i="4" s="1"/>
  <c r="E52" i="38"/>
  <c r="B142" i="4" l="1"/>
  <c r="D142" i="4" s="1"/>
  <c r="B103" i="4"/>
  <c r="D103" i="4" s="1"/>
  <c r="B92" i="4"/>
  <c r="D92" i="4" s="1"/>
  <c r="B91" i="4"/>
  <c r="D91" i="4" s="1"/>
  <c r="B141" i="4"/>
  <c r="D141" i="4" s="1"/>
  <c r="B102" i="4"/>
  <c r="D102" i="4" s="1"/>
  <c r="B105" i="4"/>
  <c r="D105" i="4" s="1"/>
  <c r="B144" i="4"/>
  <c r="D144" i="4" s="1"/>
  <c r="B94" i="4"/>
  <c r="D94" i="4" s="1"/>
  <c r="B41" i="5"/>
  <c r="D41" i="5" s="1"/>
  <c r="B39" i="5"/>
  <c r="D39" i="5" s="1"/>
  <c r="B73" i="5"/>
  <c r="D73" i="5" s="1"/>
  <c r="B47" i="5"/>
  <c r="D47" i="5" s="1"/>
  <c r="B42" i="5"/>
  <c r="D42" i="5" s="1"/>
  <c r="B76" i="5"/>
  <c r="D76" i="5" s="1"/>
  <c r="B46" i="5"/>
  <c r="D46" i="5" s="1"/>
  <c r="D71" i="6"/>
  <c r="D70" i="6"/>
  <c r="D69" i="6"/>
  <c r="D58" i="6"/>
  <c r="D55" i="6"/>
  <c r="D51" i="6"/>
  <c r="D50" i="6"/>
  <c r="D47" i="6"/>
  <c r="D29" i="6"/>
  <c r="B36" i="6" s="1"/>
  <c r="D24" i="6"/>
  <c r="D25" i="6"/>
  <c r="D18" i="6"/>
  <c r="D20" i="6" s="1"/>
  <c r="B34" i="6" s="1"/>
  <c r="D12" i="6"/>
  <c r="D11" i="6"/>
  <c r="D7" i="6"/>
  <c r="D8" i="6" s="1"/>
  <c r="D111" i="7"/>
  <c r="D98" i="7"/>
  <c r="D97" i="7"/>
  <c r="D93" i="7"/>
  <c r="D92" i="7"/>
  <c r="D91" i="7"/>
  <c r="D86" i="7"/>
  <c r="D82" i="7"/>
  <c r="D81" i="7"/>
  <c r="D80" i="7"/>
  <c r="D60" i="7"/>
  <c r="B76" i="7" s="1"/>
  <c r="D76" i="7" s="1"/>
  <c r="B52" i="7"/>
  <c r="D52" i="7" s="1"/>
  <c r="D51" i="7"/>
  <c r="D48" i="7"/>
  <c r="B66" i="7" s="1"/>
  <c r="D38" i="7"/>
  <c r="D37" i="7"/>
  <c r="D36" i="7"/>
  <c r="D35" i="7"/>
  <c r="D34" i="7"/>
  <c r="D30" i="7"/>
  <c r="D28" i="7"/>
  <c r="D27" i="7"/>
  <c r="D26" i="7"/>
  <c r="D25" i="7"/>
  <c r="D24" i="7"/>
  <c r="D23" i="7"/>
  <c r="D22" i="7"/>
  <c r="D21" i="7"/>
  <c r="D32" i="7"/>
  <c r="D20" i="7"/>
  <c r="D31" i="7"/>
  <c r="D15" i="7"/>
  <c r="D14" i="7"/>
  <c r="D13" i="7"/>
  <c r="D12" i="7"/>
  <c r="D11" i="7"/>
  <c r="D7" i="7"/>
  <c r="B63" i="7" s="1"/>
  <c r="B72" i="7" s="1"/>
  <c r="D80" i="8"/>
  <c r="D79" i="8"/>
  <c r="D68" i="8"/>
  <c r="D64" i="8"/>
  <c r="D63" i="8"/>
  <c r="D58" i="8"/>
  <c r="D54" i="8"/>
  <c r="D53" i="8"/>
  <c r="D29" i="8"/>
  <c r="D28" i="8"/>
  <c r="B74" i="8" s="1"/>
  <c r="D74" i="8" s="1"/>
  <c r="C25" i="8"/>
  <c r="D25" i="8" s="1"/>
  <c r="C20" i="8"/>
  <c r="D20" i="8" s="1"/>
  <c r="D19" i="8"/>
  <c r="D18" i="8"/>
  <c r="D17" i="8"/>
  <c r="D16" i="8"/>
  <c r="D15" i="8"/>
  <c r="D14" i="8"/>
  <c r="C10" i="8"/>
  <c r="D10" i="8" s="1"/>
  <c r="C9" i="8"/>
  <c r="D9" i="8" s="1"/>
  <c r="D8" i="8"/>
  <c r="D7" i="8"/>
  <c r="D67" i="13"/>
  <c r="D66" i="13"/>
  <c r="D56" i="13"/>
  <c r="D52" i="13"/>
  <c r="D51" i="13"/>
  <c r="D46" i="13"/>
  <c r="D42" i="13"/>
  <c r="D41" i="13"/>
  <c r="C24" i="13"/>
  <c r="D24" i="13" s="1"/>
  <c r="C20" i="13"/>
  <c r="D20" i="13" s="1"/>
  <c r="B61" i="13" s="1"/>
  <c r="D61" i="13" s="1"/>
  <c r="D15" i="13"/>
  <c r="D14" i="13"/>
  <c r="D13" i="13"/>
  <c r="D12" i="13"/>
  <c r="D7" i="13"/>
  <c r="D9" i="13" s="1"/>
  <c r="E154" i="14"/>
  <c r="D53" i="14"/>
  <c r="D52" i="14"/>
  <c r="D43" i="14"/>
  <c r="D40" i="14"/>
  <c r="D36" i="14"/>
  <c r="D35" i="14"/>
  <c r="D32" i="14"/>
  <c r="D18" i="14"/>
  <c r="D14" i="14"/>
  <c r="D13" i="14"/>
  <c r="D8" i="14"/>
  <c r="D7" i="14"/>
  <c r="D115" i="9"/>
  <c r="D108" i="9"/>
  <c r="D107" i="9"/>
  <c r="D106" i="9"/>
  <c r="D105" i="9"/>
  <c r="D104" i="9"/>
  <c r="D91" i="9"/>
  <c r="D90" i="9"/>
  <c r="D86" i="9"/>
  <c r="D85" i="9"/>
  <c r="D84" i="9"/>
  <c r="D79" i="9"/>
  <c r="D75" i="9"/>
  <c r="D74" i="9"/>
  <c r="D73" i="9"/>
  <c r="D53" i="9"/>
  <c r="B61" i="9" s="1"/>
  <c r="D49" i="9"/>
  <c r="D48" i="9"/>
  <c r="D45" i="9"/>
  <c r="C42" i="9"/>
  <c r="D42" i="9" s="1"/>
  <c r="B59" i="9" s="1"/>
  <c r="D37" i="9"/>
  <c r="D35" i="9"/>
  <c r="D34" i="9"/>
  <c r="D33" i="9"/>
  <c r="D32" i="9"/>
  <c r="D31" i="9"/>
  <c r="D30" i="9"/>
  <c r="D29" i="9"/>
  <c r="D28" i="9"/>
  <c r="D27" i="9"/>
  <c r="D26" i="9"/>
  <c r="D25" i="9"/>
  <c r="D24" i="9"/>
  <c r="D23" i="9"/>
  <c r="D18" i="9"/>
  <c r="D17" i="9"/>
  <c r="D16" i="9"/>
  <c r="D15" i="9"/>
  <c r="D14" i="9"/>
  <c r="D13" i="9"/>
  <c r="D12" i="9"/>
  <c r="D11" i="9"/>
  <c r="D7" i="9"/>
  <c r="D8" i="9" s="1"/>
  <c r="D149" i="4" l="1"/>
  <c r="D109" i="4"/>
  <c r="D77" i="5"/>
  <c r="D99" i="4"/>
  <c r="D54" i="14"/>
  <c r="D53" i="13"/>
  <c r="D52" i="6"/>
  <c r="D15" i="14"/>
  <c r="B22" i="14" s="1"/>
  <c r="B47" i="14" s="1"/>
  <c r="D47" i="14" s="1"/>
  <c r="D10" i="14"/>
  <c r="B46" i="14" s="1"/>
  <c r="D46" i="14" s="1"/>
  <c r="D15" i="6"/>
  <c r="B62" i="6" s="1"/>
  <c r="D62" i="6" s="1"/>
  <c r="D109" i="9"/>
  <c r="D30" i="8"/>
  <c r="B81" i="8"/>
  <c r="D81" i="8" s="1"/>
  <c r="D82" i="8" s="1"/>
  <c r="D65" i="8"/>
  <c r="D48" i="5"/>
  <c r="D43" i="5"/>
  <c r="B43" i="6"/>
  <c r="D36" i="6"/>
  <c r="D76" i="9"/>
  <c r="D22" i="8"/>
  <c r="B47" i="8" s="1"/>
  <c r="D20" i="9"/>
  <c r="B57" i="9" s="1"/>
  <c r="D57" i="9" s="1"/>
  <c r="D43" i="13"/>
  <c r="B106" i="7"/>
  <c r="D106" i="7" s="1"/>
  <c r="D53" i="7"/>
  <c r="B67" i="7" s="1"/>
  <c r="B112" i="7" s="1"/>
  <c r="D112" i="7" s="1"/>
  <c r="D113" i="7" s="1"/>
  <c r="D87" i="9"/>
  <c r="D92" i="9"/>
  <c r="D37" i="14"/>
  <c r="D50" i="9"/>
  <c r="B60" i="9" s="1"/>
  <c r="B99" i="9" s="1"/>
  <c r="D99" i="9" s="1"/>
  <c r="B45" i="8"/>
  <c r="D45" i="8" s="1"/>
  <c r="D38" i="9"/>
  <c r="B58" i="9" s="1"/>
  <c r="D58" i="9" s="1"/>
  <c r="D94" i="7"/>
  <c r="D55" i="8"/>
  <c r="B46" i="8"/>
  <c r="D46" i="8" s="1"/>
  <c r="B35" i="6"/>
  <c r="B72" i="6"/>
  <c r="D72" i="6" s="1"/>
  <c r="D73" i="6" s="1"/>
  <c r="B42" i="6"/>
  <c r="D34" i="6"/>
  <c r="B32" i="6"/>
  <c r="D99" i="7"/>
  <c r="D41" i="7"/>
  <c r="B65" i="7" s="1"/>
  <c r="D65" i="7" s="1"/>
  <c r="D83" i="7"/>
  <c r="D8" i="7"/>
  <c r="B102" i="7"/>
  <c r="D102" i="7" s="1"/>
  <c r="D72" i="7"/>
  <c r="B75" i="7"/>
  <c r="D75" i="7" s="1"/>
  <c r="D66" i="7"/>
  <c r="D17" i="7"/>
  <c r="D63" i="7"/>
  <c r="B68" i="7"/>
  <c r="D68" i="7" s="1"/>
  <c r="B105" i="7"/>
  <c r="D105" i="7" s="1"/>
  <c r="B107" i="7"/>
  <c r="D107" i="7" s="1"/>
  <c r="D87" i="7"/>
  <c r="D88" i="7" s="1"/>
  <c r="B73" i="8"/>
  <c r="D73" i="8" s="1"/>
  <c r="B39" i="8"/>
  <c r="D39" i="8" s="1"/>
  <c r="B48" i="8"/>
  <c r="D48" i="8" s="1"/>
  <c r="C34" i="8"/>
  <c r="D34" i="8" s="1"/>
  <c r="B40" i="8"/>
  <c r="D40" i="8" s="1"/>
  <c r="D12" i="8"/>
  <c r="D59" i="8"/>
  <c r="D60" i="8" s="1"/>
  <c r="D17" i="13"/>
  <c r="B28" i="13" s="1"/>
  <c r="D28" i="13" s="1"/>
  <c r="D68" i="13"/>
  <c r="B34" i="13"/>
  <c r="D34" i="13" s="1"/>
  <c r="B27" i="13"/>
  <c r="D27" i="13" s="1"/>
  <c r="B59" i="13"/>
  <c r="D59" i="13" s="1"/>
  <c r="B30" i="13"/>
  <c r="B62" i="13"/>
  <c r="D62" i="13" s="1"/>
  <c r="B29" i="13"/>
  <c r="D29" i="13" s="1"/>
  <c r="B36" i="13"/>
  <c r="D36" i="13" s="1"/>
  <c r="D47" i="13"/>
  <c r="D48" i="13" s="1"/>
  <c r="B23" i="14"/>
  <c r="D23" i="14" s="1"/>
  <c r="B28" i="14"/>
  <c r="D28" i="14" s="1"/>
  <c r="B48" i="14"/>
  <c r="D48" i="14" s="1"/>
  <c r="B69" i="9"/>
  <c r="D69" i="9" s="1"/>
  <c r="D61" i="9"/>
  <c r="B100" i="9"/>
  <c r="D100" i="9" s="1"/>
  <c r="D59" i="9"/>
  <c r="B98" i="9"/>
  <c r="D98" i="9" s="1"/>
  <c r="B68" i="9"/>
  <c r="D68" i="9" s="1"/>
  <c r="B56" i="9"/>
  <c r="D80" i="9"/>
  <c r="D81" i="9" s="1"/>
  <c r="B41" i="6" l="1"/>
  <c r="D41" i="6" s="1"/>
  <c r="D22" i="14"/>
  <c r="B27" i="14"/>
  <c r="D27" i="14" s="1"/>
  <c r="D29" i="14" s="1"/>
  <c r="B21" i="14"/>
  <c r="D21" i="14" s="1"/>
  <c r="B33" i="6"/>
  <c r="D33" i="6" s="1"/>
  <c r="B146" i="64"/>
  <c r="F146" i="64" s="1"/>
  <c r="B96" i="9"/>
  <c r="D96" i="9" s="1"/>
  <c r="D67" i="7"/>
  <c r="B97" i="9"/>
  <c r="D97" i="9" s="1"/>
  <c r="D60" i="9"/>
  <c r="B67" i="9"/>
  <c r="D67" i="9" s="1"/>
  <c r="B38" i="8"/>
  <c r="D38" i="8" s="1"/>
  <c r="B66" i="9"/>
  <c r="D66" i="9" s="1"/>
  <c r="D43" i="6"/>
  <c r="B65" i="6"/>
  <c r="D65" i="6" s="1"/>
  <c r="B60" i="13"/>
  <c r="D60" i="13" s="1"/>
  <c r="D63" i="13" s="1"/>
  <c r="B35" i="13"/>
  <c r="D35" i="13" s="1"/>
  <c r="B104" i="7"/>
  <c r="D104" i="7" s="1"/>
  <c r="B74" i="7"/>
  <c r="D74" i="7" s="1"/>
  <c r="B40" i="6"/>
  <c r="D32" i="6"/>
  <c r="B63" i="6"/>
  <c r="D63" i="6" s="1"/>
  <c r="D42" i="6"/>
  <c r="D35" i="6"/>
  <c r="B64" i="6"/>
  <c r="D64" i="6" s="1"/>
  <c r="B73" i="7"/>
  <c r="B103" i="7"/>
  <c r="D103" i="7" s="1"/>
  <c r="B64" i="7"/>
  <c r="D64" i="7" s="1"/>
  <c r="B49" i="8"/>
  <c r="D49" i="8" s="1"/>
  <c r="B75" i="8"/>
  <c r="D75" i="8" s="1"/>
  <c r="B41" i="8"/>
  <c r="D41" i="8" s="1"/>
  <c r="B71" i="8"/>
  <c r="D71" i="8" s="1"/>
  <c r="B37" i="8"/>
  <c r="D37" i="8" s="1"/>
  <c r="B72" i="8"/>
  <c r="D72" i="8" s="1"/>
  <c r="D47" i="8"/>
  <c r="B37" i="13"/>
  <c r="D37" i="13" s="1"/>
  <c r="D30" i="13"/>
  <c r="D31" i="13" s="1"/>
  <c r="D49" i="14"/>
  <c r="B95" i="9"/>
  <c r="D95" i="9" s="1"/>
  <c r="B65" i="9"/>
  <c r="D56" i="9"/>
  <c r="D62" i="9" l="1"/>
  <c r="D65" i="9"/>
  <c r="D24" i="14"/>
  <c r="D38" i="13"/>
  <c r="D146" i="64"/>
  <c r="D73" i="7"/>
  <c r="D77" i="7" s="1"/>
  <c r="D108" i="7"/>
  <c r="D101" i="9"/>
  <c r="D69" i="7"/>
  <c r="D70" i="9"/>
  <c r="D42" i="8"/>
  <c r="D37" i="6"/>
  <c r="B61" i="6"/>
  <c r="D61" i="6" s="1"/>
  <c r="D66" i="6" s="1"/>
  <c r="D40" i="6"/>
  <c r="D44" i="6" s="1"/>
  <c r="D50" i="8"/>
  <c r="D76" i="8"/>
  <c r="D13" i="37" l="1"/>
  <c r="D18" i="37"/>
  <c r="D137" i="1" l="1"/>
  <c r="D235" i="1"/>
  <c r="D234" i="1"/>
  <c r="D232" i="1"/>
  <c r="D213" i="1"/>
  <c r="D187" i="1"/>
  <c r="D160" i="1"/>
  <c r="D152" i="1"/>
  <c r="D130" i="1"/>
  <c r="D109" i="1"/>
  <c r="D66" i="15"/>
  <c r="D65" i="15"/>
  <c r="D64" i="15"/>
  <c r="D63" i="15"/>
  <c r="D52" i="15"/>
  <c r="D49" i="15"/>
  <c r="D45" i="15"/>
  <c r="D44" i="15"/>
  <c r="D41" i="15"/>
  <c r="D22" i="15"/>
  <c r="D23" i="15" s="1"/>
  <c r="D18" i="15"/>
  <c r="B58" i="15" s="1"/>
  <c r="D58" i="15" s="1"/>
  <c r="D13" i="15"/>
  <c r="B57" i="15" s="1"/>
  <c r="D57" i="15" s="1"/>
  <c r="D12" i="15"/>
  <c r="D7" i="15"/>
  <c r="D9" i="15" s="1"/>
  <c r="D13" i="11"/>
  <c r="D15" i="11" s="1"/>
  <c r="D7" i="11"/>
  <c r="B39" i="11" l="1"/>
  <c r="D39" i="11" s="1"/>
  <c r="B32" i="11"/>
  <c r="D9" i="11"/>
  <c r="B57" i="11"/>
  <c r="D57" i="11" s="1"/>
  <c r="D67" i="15"/>
  <c r="D46" i="15"/>
  <c r="B37" i="15"/>
  <c r="D37" i="15" s="1"/>
  <c r="D19" i="15"/>
  <c r="D15" i="15"/>
  <c r="B29" i="15" s="1"/>
  <c r="D29" i="15" s="1"/>
  <c r="B28" i="15"/>
  <c r="D28" i="15" s="1"/>
  <c r="B55" i="15"/>
  <c r="D55" i="15" s="1"/>
  <c r="B35" i="15"/>
  <c r="D35" i="15" s="1"/>
  <c r="B59" i="15"/>
  <c r="D59" i="15" s="1"/>
  <c r="B31" i="15"/>
  <c r="D31" i="15" s="1"/>
  <c r="B30" i="15"/>
  <c r="D30" i="15" s="1"/>
  <c r="B38" i="11" l="1"/>
  <c r="D38" i="11" s="1"/>
  <c r="D40" i="11" s="1"/>
  <c r="B31" i="11"/>
  <c r="D31" i="11" s="1"/>
  <c r="D32" i="11"/>
  <c r="B58" i="11"/>
  <c r="D58" i="11" s="1"/>
  <c r="D62" i="11" s="1"/>
  <c r="B36" i="15"/>
  <c r="D36" i="15" s="1"/>
  <c r="D38" i="15" s="1"/>
  <c r="B56" i="15"/>
  <c r="D56" i="15" s="1"/>
  <c r="D60" i="15" s="1"/>
  <c r="D32" i="15"/>
  <c r="A1" i="12"/>
  <c r="D35" i="11" l="1"/>
  <c r="D118" i="1" l="1"/>
  <c r="G50" i="59" l="1"/>
  <c r="Y179" i="54"/>
  <c r="T179" i="54"/>
  <c r="R179" i="54"/>
  <c r="N179" i="54"/>
  <c r="J179" i="54"/>
  <c r="I179" i="54"/>
  <c r="G179" i="54"/>
  <c r="F179" i="54"/>
  <c r="E179" i="54"/>
  <c r="AB26" i="55" l="1"/>
  <c r="AC24" i="55" l="1"/>
  <c r="AC26" i="55" s="1"/>
  <c r="AC30" i="55" s="1"/>
  <c r="AC34" i="55" s="1"/>
  <c r="Z26" i="55"/>
  <c r="Z30" i="55" s="1"/>
  <c r="Z34" i="55" s="1"/>
  <c r="C108" i="37" l="1"/>
  <c r="B108" i="37"/>
  <c r="E12" i="63"/>
  <c r="G256" i="12"/>
  <c r="E256" i="12"/>
  <c r="B23" i="18"/>
  <c r="C33" i="38" l="1"/>
  <c r="E17" i="63"/>
  <c r="C224" i="1"/>
  <c r="B224" i="1"/>
  <c r="C165" i="1"/>
  <c r="B165" i="1"/>
  <c r="D32" i="1" l="1"/>
  <c r="D98" i="1" l="1"/>
  <c r="AD26" i="55" l="1"/>
  <c r="AD30" i="55" s="1"/>
  <c r="AD34" i="55" s="1"/>
  <c r="D12" i="37" l="1"/>
  <c r="D14" i="37" s="1"/>
  <c r="J43" i="38" l="1"/>
  <c r="D21" i="38"/>
  <c r="E21" i="38"/>
  <c r="F21" i="38"/>
  <c r="G63" i="18"/>
  <c r="E63" i="18"/>
  <c r="D63" i="18"/>
  <c r="C63" i="18"/>
  <c r="G21" i="38"/>
  <c r="L21" i="38" s="1"/>
  <c r="N21" i="38" s="1"/>
  <c r="B63" i="18"/>
  <c r="F345" i="9"/>
  <c r="J344" i="9"/>
  <c r="J347" i="9" s="1"/>
  <c r="G31" i="18"/>
  <c r="F31" i="18"/>
  <c r="E31" i="18"/>
  <c r="G61" i="18"/>
  <c r="G64" i="18" s="1"/>
  <c r="H32" i="38" s="1"/>
  <c r="G32" i="38"/>
  <c r="E64" i="18"/>
  <c r="F32" i="38" s="1"/>
  <c r="D61" i="18"/>
  <c r="D64" i="18" s="1"/>
  <c r="E32" i="38" s="1"/>
  <c r="C61" i="18"/>
  <c r="C64" i="18" s="1"/>
  <c r="B61" i="18"/>
  <c r="B64" i="18" s="1"/>
  <c r="J378" i="3"/>
  <c r="B65" i="18" l="1"/>
  <c r="C65" i="18"/>
  <c r="D65" i="18"/>
  <c r="G65" i="18"/>
  <c r="E65" i="18"/>
  <c r="F19" i="38"/>
  <c r="C17" i="2" l="1"/>
  <c r="D17" i="2" s="1"/>
  <c r="B23" i="2" s="1"/>
  <c r="B29" i="2" s="1"/>
  <c r="C37" i="1"/>
  <c r="K362" i="7" l="1"/>
  <c r="E131" i="13"/>
  <c r="G131" i="13"/>
  <c r="F131" i="13"/>
  <c r="F127" i="13"/>
  <c r="D16" i="38" s="1"/>
  <c r="G127" i="13"/>
  <c r="E16" i="38" s="1"/>
  <c r="B31" i="18"/>
  <c r="C31" i="18"/>
  <c r="G132" i="13"/>
  <c r="J349" i="9" l="1"/>
  <c r="J351" i="9" s="1"/>
  <c r="I349" i="9"/>
  <c r="E255" i="12" l="1"/>
  <c r="E258" i="12" s="1"/>
  <c r="J258" i="12"/>
  <c r="J252" i="12"/>
  <c r="F258" i="12"/>
  <c r="G258" i="12" l="1"/>
  <c r="G252" i="12" l="1"/>
  <c r="D31" i="18" l="1"/>
  <c r="D32" i="38" l="1"/>
  <c r="C32" i="38"/>
  <c r="D29" i="2" l="1"/>
  <c r="B49" i="2"/>
  <c r="D49" i="2" s="1"/>
  <c r="D264" i="1" l="1"/>
  <c r="J21" i="38" l="1"/>
  <c r="C21" i="38"/>
  <c r="C26" i="38" l="1"/>
  <c r="C25" i="38"/>
  <c r="A1" i="2" l="1"/>
  <c r="D7" i="2"/>
  <c r="D9" i="2" s="1"/>
  <c r="B21" i="2" s="1"/>
  <c r="D12" i="2"/>
  <c r="D13" i="2"/>
  <c r="D33" i="2"/>
  <c r="D36" i="2"/>
  <c r="D37" i="2"/>
  <c r="D41" i="2"/>
  <c r="D44" i="2"/>
  <c r="D53" i="2"/>
  <c r="D54" i="2"/>
  <c r="E122" i="2"/>
  <c r="G122" i="2"/>
  <c r="J122" i="2"/>
  <c r="E123" i="2"/>
  <c r="F123" i="2"/>
  <c r="G123" i="2"/>
  <c r="J123" i="2"/>
  <c r="D214" i="1"/>
  <c r="D217" i="1" s="1"/>
  <c r="D219" i="1" s="1"/>
  <c r="D14" i="2" l="1"/>
  <c r="D55" i="2"/>
  <c r="E125" i="2"/>
  <c r="D38" i="2"/>
  <c r="F125" i="2"/>
  <c r="J125" i="2"/>
  <c r="J128" i="2" s="1"/>
  <c r="J129" i="2" s="1"/>
  <c r="D21" i="2"/>
  <c r="B47" i="2"/>
  <c r="D47" i="2" s="1"/>
  <c r="G125" i="2"/>
  <c r="B28" i="2" l="1"/>
  <c r="D28" i="2" s="1"/>
  <c r="B22" i="2"/>
  <c r="D22" i="2" s="1"/>
  <c r="B27" i="2"/>
  <c r="D27" i="2" s="1"/>
  <c r="B48" i="2"/>
  <c r="D48" i="2" s="1"/>
  <c r="D50" i="2" s="1"/>
  <c r="D23" i="2"/>
  <c r="D24" i="2" l="1"/>
  <c r="D30" i="2"/>
  <c r="J282" i="1" l="1"/>
  <c r="J281" i="1"/>
  <c r="J280" i="1"/>
  <c r="J278" i="1"/>
  <c r="H5" i="38" s="1"/>
  <c r="J310" i="4"/>
  <c r="J308" i="4"/>
  <c r="J154" i="53"/>
  <c r="J153" i="53"/>
  <c r="J152" i="53"/>
  <c r="J150" i="53"/>
  <c r="H10" i="38" s="1"/>
  <c r="J146" i="6"/>
  <c r="J145" i="6"/>
  <c r="J144" i="6"/>
  <c r="J142" i="6"/>
  <c r="H11" i="38" s="1"/>
  <c r="J228" i="8"/>
  <c r="J257" i="11"/>
  <c r="J256" i="11"/>
  <c r="J255" i="11"/>
  <c r="J253" i="11"/>
  <c r="H14" i="38" s="1"/>
  <c r="J132" i="13"/>
  <c r="J130" i="13"/>
  <c r="J127" i="13"/>
  <c r="H16" i="38" s="1"/>
  <c r="J150" i="14"/>
  <c r="H17" i="38" s="1"/>
  <c r="J160" i="15"/>
  <c r="J159" i="15"/>
  <c r="J154" i="16"/>
  <c r="J153" i="16"/>
  <c r="J151" i="16"/>
  <c r="H19" i="38" s="1"/>
  <c r="K96" i="17"/>
  <c r="K95" i="17"/>
  <c r="K94" i="17"/>
  <c r="K92" i="17"/>
  <c r="H20" i="38" s="1"/>
  <c r="K90" i="17"/>
  <c r="J342" i="9"/>
  <c r="H31" i="38" s="1"/>
  <c r="J114" i="37"/>
  <c r="J113" i="37"/>
  <c r="J112" i="37"/>
  <c r="J110" i="37"/>
  <c r="H36" i="38" s="1"/>
  <c r="J16" i="36"/>
  <c r="J18" i="36" s="1"/>
  <c r="H38" i="38" s="1"/>
  <c r="J12" i="36"/>
  <c r="J165" i="60"/>
  <c r="J20" i="50"/>
  <c r="J12" i="63"/>
  <c r="H33" i="38" s="1"/>
  <c r="G29" i="18" l="1"/>
  <c r="G30" i="18"/>
  <c r="J160" i="5"/>
  <c r="H9" i="38" s="1"/>
  <c r="J231" i="8"/>
  <c r="J133" i="13"/>
  <c r="J147" i="6"/>
  <c r="J150" i="6" s="1"/>
  <c r="J151" i="6" s="1"/>
  <c r="J162" i="15"/>
  <c r="J165" i="15" s="1"/>
  <c r="J166" i="15" s="1"/>
  <c r="J156" i="16"/>
  <c r="J159" i="16" s="1"/>
  <c r="J160" i="16" s="1"/>
  <c r="J155" i="53"/>
  <c r="J158" i="53" s="1"/>
  <c r="J159" i="53" s="1"/>
  <c r="J363" i="7"/>
  <c r="J366" i="7" s="1"/>
  <c r="J367" i="7" s="1"/>
  <c r="J115" i="37"/>
  <c r="J118" i="37" s="1"/>
  <c r="J119" i="37" s="1"/>
  <c r="K97" i="17"/>
  <c r="K101" i="17" s="1"/>
  <c r="K102" i="17" s="1"/>
  <c r="J258" i="11"/>
  <c r="J261" i="11" s="1"/>
  <c r="J262" i="11" s="1"/>
  <c r="J283" i="1"/>
  <c r="J287" i="1" s="1"/>
  <c r="J288" i="1" s="1"/>
  <c r="J313" i="4"/>
  <c r="I65" i="59"/>
  <c r="I38" i="59"/>
  <c r="H8" i="38" l="1"/>
  <c r="J316" i="4"/>
  <c r="J317" i="4" s="1"/>
  <c r="G20" i="38"/>
  <c r="G19" i="38"/>
  <c r="L19" i="38" s="1"/>
  <c r="N19" i="38" s="1"/>
  <c r="F30" i="18" l="1"/>
  <c r="F29" i="18"/>
  <c r="F28" i="18"/>
  <c r="F26" i="18"/>
  <c r="F32" i="18" l="1"/>
  <c r="J162" i="5"/>
  <c r="F144" i="6" l="1"/>
  <c r="E144" i="6" l="1"/>
  <c r="E145" i="6"/>
  <c r="G65" i="59" l="1"/>
  <c r="H16" i="63"/>
  <c r="G16" i="63"/>
  <c r="F344" i="9" l="1"/>
  <c r="E344" i="9"/>
  <c r="E347" i="9" s="1"/>
  <c r="G310" i="4" l="1"/>
  <c r="F36" i="38"/>
  <c r="F20" i="38"/>
  <c r="L20" i="38" s="1"/>
  <c r="N20" i="38" s="1"/>
  <c r="E30" i="18" l="1"/>
  <c r="E28" i="18"/>
  <c r="E26" i="18"/>
  <c r="E29" i="18"/>
  <c r="I118" i="37"/>
  <c r="E32" i="18" l="1"/>
  <c r="L32" i="18" s="1"/>
  <c r="F378" i="3" l="1"/>
  <c r="E377" i="3"/>
  <c r="D10" i="38"/>
  <c r="C10" i="38"/>
  <c r="E380" i="3" l="1"/>
  <c r="E383" i="3" s="1"/>
  <c r="F154" i="16" l="1"/>
  <c r="E154" i="16"/>
  <c r="F153" i="16"/>
  <c r="E153" i="16"/>
  <c r="G151" i="16"/>
  <c r="E19" i="38" s="1"/>
  <c r="F151" i="16"/>
  <c r="C19" i="38"/>
  <c r="D19" i="38" l="1"/>
  <c r="E156" i="16"/>
  <c r="F156" i="16"/>
  <c r="G146" i="6" l="1"/>
  <c r="F146" i="6"/>
  <c r="E146" i="6"/>
  <c r="E147" i="6" s="1"/>
  <c r="G145" i="6"/>
  <c r="F145" i="6"/>
  <c r="G144" i="6"/>
  <c r="F142" i="6"/>
  <c r="D11" i="38" s="1"/>
  <c r="C11" i="38"/>
  <c r="C12" i="38"/>
  <c r="G228" i="8"/>
  <c r="G231" i="8" s="1"/>
  <c r="F228" i="8"/>
  <c r="E228" i="8"/>
  <c r="C13" i="38"/>
  <c r="F132" i="13"/>
  <c r="E132" i="13"/>
  <c r="G130" i="13"/>
  <c r="E130" i="13"/>
  <c r="E153" i="14"/>
  <c r="G150" i="14"/>
  <c r="E17" i="38" s="1"/>
  <c r="F150" i="14"/>
  <c r="E152" i="14"/>
  <c r="H96" i="17"/>
  <c r="G96" i="17"/>
  <c r="F96" i="17"/>
  <c r="G95" i="17"/>
  <c r="F95" i="17"/>
  <c r="H94" i="17"/>
  <c r="G94" i="17"/>
  <c r="F94" i="17"/>
  <c r="G92" i="17"/>
  <c r="D20" i="38" s="1"/>
  <c r="H90" i="17"/>
  <c r="G90" i="17"/>
  <c r="F90" i="17"/>
  <c r="E7" i="17"/>
  <c r="E9" i="17" s="1"/>
  <c r="D17" i="38" l="1"/>
  <c r="F130" i="13"/>
  <c r="F133" i="13" s="1"/>
  <c r="E231" i="8"/>
  <c r="F231" i="8"/>
  <c r="F363" i="7"/>
  <c r="E133" i="13"/>
  <c r="G133" i="13"/>
  <c r="F147" i="6"/>
  <c r="F97" i="17"/>
  <c r="G97" i="17"/>
  <c r="E363" i="7"/>
  <c r="G147" i="6"/>
  <c r="E155" i="14"/>
  <c r="C17" i="38"/>
  <c r="H95" i="17"/>
  <c r="H97" i="17" s="1"/>
  <c r="H92" i="17"/>
  <c r="E20" i="38" s="1"/>
  <c r="C15" i="17"/>
  <c r="E15" i="17" s="1"/>
  <c r="C12" i="17"/>
  <c r="E12" i="17" s="1"/>
  <c r="F346" i="9" l="1"/>
  <c r="F342" i="9"/>
  <c r="D31" i="38" s="1"/>
  <c r="F347" i="9" l="1"/>
  <c r="D7" i="37" l="1"/>
  <c r="D9" i="37" s="1"/>
  <c r="B30" i="37" s="1"/>
  <c r="D17" i="37"/>
  <c r="D33" i="37"/>
  <c r="D36" i="37"/>
  <c r="D37" i="37"/>
  <c r="D41" i="37"/>
  <c r="D44" i="37"/>
  <c r="D53" i="37"/>
  <c r="D54" i="37"/>
  <c r="B55" i="37"/>
  <c r="D55" i="37" s="1"/>
  <c r="D56" i="37"/>
  <c r="D69" i="37"/>
  <c r="D70" i="37" s="1"/>
  <c r="D91" i="37"/>
  <c r="D108" i="37"/>
  <c r="C36" i="38"/>
  <c r="F110" i="37"/>
  <c r="G110" i="37"/>
  <c r="E36" i="38" s="1"/>
  <c r="E112" i="37"/>
  <c r="F112" i="37"/>
  <c r="E113" i="37"/>
  <c r="F113" i="37"/>
  <c r="G113" i="37"/>
  <c r="E114" i="37"/>
  <c r="F114" i="37"/>
  <c r="G114" i="37"/>
  <c r="B144" i="64" l="1"/>
  <c r="D144" i="64" s="1"/>
  <c r="D19" i="37"/>
  <c r="B26" i="37" s="1"/>
  <c r="D38" i="37"/>
  <c r="E115" i="37"/>
  <c r="D57" i="37"/>
  <c r="F115" i="37"/>
  <c r="G115" i="37"/>
  <c r="B24" i="37"/>
  <c r="D24" i="37" s="1"/>
  <c r="B47" i="37"/>
  <c r="D47" i="37" s="1"/>
  <c r="F144" i="64" l="1"/>
  <c r="B49" i="37"/>
  <c r="D49" i="37" s="1"/>
  <c r="D26" i="37"/>
  <c r="B48" i="37"/>
  <c r="D48" i="37" s="1"/>
  <c r="B25" i="37"/>
  <c r="D25" i="37" s="1"/>
  <c r="D30" i="37"/>
  <c r="D50" i="37" l="1"/>
  <c r="D27" i="37"/>
  <c r="C20" i="38"/>
  <c r="C16" i="38"/>
  <c r="C7" i="38"/>
  <c r="L312" i="4"/>
  <c r="K311" i="4"/>
  <c r="F310" i="4"/>
  <c r="E310" i="4"/>
  <c r="G308" i="4"/>
  <c r="F308" i="4"/>
  <c r="K310" i="4" l="1"/>
  <c r="L310" i="4" s="1"/>
  <c r="E313" i="4"/>
  <c r="L311" i="4"/>
  <c r="F313" i="4"/>
  <c r="D8" i="38" s="1"/>
  <c r="G313" i="4"/>
  <c r="E8" i="38" s="1"/>
  <c r="C8" i="38"/>
  <c r="C52" i="38" l="1"/>
  <c r="F160" i="5" l="1"/>
  <c r="D9" i="38" s="1"/>
  <c r="G160" i="5"/>
  <c r="E9" i="38" s="1"/>
  <c r="E160" i="5"/>
  <c r="C9" i="38" s="1"/>
  <c r="G160" i="15" l="1"/>
  <c r="F160" i="15"/>
  <c r="G159" i="15"/>
  <c r="F159" i="15"/>
  <c r="C18" i="38"/>
  <c r="F162" i="15" l="1"/>
  <c r="G162" i="15"/>
  <c r="C6" i="38" l="1"/>
  <c r="G257" i="11" l="1"/>
  <c r="D30" i="18" s="1"/>
  <c r="G256" i="11"/>
  <c r="F256" i="11"/>
  <c r="E256" i="11"/>
  <c r="G255" i="11"/>
  <c r="F255" i="11"/>
  <c r="E255" i="11"/>
  <c r="G253" i="11"/>
  <c r="E14" i="38" s="1"/>
  <c r="F257" i="11"/>
  <c r="C14" i="38" l="1"/>
  <c r="E258" i="11"/>
  <c r="F258" i="11"/>
  <c r="G258" i="11"/>
  <c r="AG26" i="55" l="1"/>
  <c r="AG30" i="55" s="1"/>
  <c r="AG34" i="55" s="1"/>
  <c r="AF26" i="55"/>
  <c r="AF30" i="55" s="1"/>
  <c r="AF34" i="55" s="1"/>
  <c r="Y260" i="54"/>
  <c r="Y261" i="54" s="1"/>
  <c r="Y249" i="54"/>
  <c r="Y248" i="54"/>
  <c r="Y246" i="54"/>
  <c r="Y245" i="54"/>
  <c r="Y256" i="54" l="1"/>
  <c r="Y262" i="54" s="1"/>
  <c r="D29" i="18" l="1"/>
  <c r="D28" i="18"/>
  <c r="G278" i="1"/>
  <c r="E5" i="38" s="1"/>
  <c r="D26" i="18" l="1"/>
  <c r="D32" i="18"/>
  <c r="K32" i="18" l="1"/>
  <c r="E17" i="61"/>
  <c r="A1" i="3" l="1"/>
  <c r="Z273" i="54"/>
  <c r="Z267" i="54"/>
  <c r="Z266" i="54"/>
  <c r="Z265" i="54"/>
  <c r="Z275" i="54" l="1"/>
  <c r="Z241" i="54"/>
  <c r="Z270" i="54" s="1"/>
  <c r="C5" i="66" s="1"/>
  <c r="C6" i="52" l="1"/>
  <c r="I16" i="63"/>
  <c r="I18" i="63" s="1"/>
  <c r="E18" i="63"/>
  <c r="J17" i="63"/>
  <c r="J18" i="63" s="1"/>
  <c r="I12" i="63"/>
  <c r="H12" i="63"/>
  <c r="H17" i="63" s="1"/>
  <c r="H18" i="63" s="1"/>
  <c r="G12" i="63"/>
  <c r="F12" i="63"/>
  <c r="C34" i="38"/>
  <c r="A1" i="63"/>
  <c r="F17" i="63" l="1"/>
  <c r="F18" i="63" s="1"/>
  <c r="D33" i="38"/>
  <c r="G17" i="63"/>
  <c r="G18" i="63" s="1"/>
  <c r="D128" i="64"/>
  <c r="E128" i="64" s="1"/>
  <c r="AA190" i="54" l="1"/>
  <c r="AB190" i="54" s="1"/>
  <c r="AA200" i="54"/>
  <c r="J233" i="8" l="1"/>
  <c r="K98" i="17" l="1"/>
  <c r="I83" i="59" l="1"/>
  <c r="I79" i="59"/>
  <c r="F25" i="38"/>
  <c r="F26" i="38"/>
  <c r="H16" i="36" l="1"/>
  <c r="H12" i="36"/>
  <c r="AE23" i="55" l="1"/>
  <c r="AH23" i="55" s="1"/>
  <c r="D253" i="1" l="1"/>
  <c r="D224" i="1"/>
  <c r="D176" i="1"/>
  <c r="D145" i="1"/>
  <c r="D243" i="1" l="1"/>
  <c r="X260" i="54" l="1"/>
  <c r="X261" i="54" s="1"/>
  <c r="X254" i="54"/>
  <c r="X250" i="54"/>
  <c r="X249" i="54"/>
  <c r="X248" i="54"/>
  <c r="X247" i="54"/>
  <c r="X246" i="54"/>
  <c r="X245" i="54"/>
  <c r="X256" i="54" l="1"/>
  <c r="X262" i="54" s="1"/>
  <c r="X241" i="54"/>
  <c r="X264" i="54" s="1"/>
  <c r="A1" i="53" l="1"/>
  <c r="G58" i="59" l="1"/>
  <c r="AA11" i="55" l="1"/>
  <c r="W253" i="54" l="1"/>
  <c r="F22" i="38" l="1"/>
  <c r="AA26" i="55"/>
  <c r="AA30" i="55" s="1"/>
  <c r="AA34" i="55" s="1"/>
  <c r="F29" i="38" l="1"/>
  <c r="AB148" i="54" l="1"/>
  <c r="H52" i="38" l="1"/>
  <c r="G52" i="38"/>
  <c r="F52" i="38"/>
  <c r="B5" i="67" s="1"/>
  <c r="D52" i="38"/>
  <c r="B13" i="67" l="1"/>
  <c r="C5" i="67"/>
  <c r="C13" i="67" s="1"/>
  <c r="C18" i="67" s="1"/>
  <c r="V260" i="54"/>
  <c r="U260" i="54"/>
  <c r="S260" i="54"/>
  <c r="S171" i="54"/>
  <c r="S159" i="54"/>
  <c r="S179" i="54" s="1"/>
  <c r="E18" i="67" l="1"/>
  <c r="S144" i="54"/>
  <c r="S140" i="54"/>
  <c r="S137" i="54"/>
  <c r="S136" i="54"/>
  <c r="S133" i="54"/>
  <c r="S125" i="54"/>
  <c r="S116" i="54"/>
  <c r="S82" i="54"/>
  <c r="S65" i="54"/>
  <c r="S56" i="54"/>
  <c r="S45" i="54"/>
  <c r="S43" i="54"/>
  <c r="S38" i="54"/>
  <c r="S33" i="54"/>
  <c r="S27" i="54"/>
  <c r="A1" i="60"/>
  <c r="A1" i="50"/>
  <c r="A1" i="61"/>
  <c r="A1" i="36"/>
  <c r="A1" i="37"/>
  <c r="A1" i="9"/>
  <c r="A1" i="17"/>
  <c r="A1" i="16"/>
  <c r="A1" i="15"/>
  <c r="A1" i="14"/>
  <c r="A1" i="13"/>
  <c r="A1" i="11"/>
  <c r="A1" i="8"/>
  <c r="A1" i="7"/>
  <c r="A1" i="6"/>
  <c r="A1" i="5"/>
  <c r="A1" i="4"/>
  <c r="A1" i="1"/>
  <c r="F282" i="1" l="1"/>
  <c r="C30" i="18" s="1"/>
  <c r="F281" i="1"/>
  <c r="C29" i="18" s="1"/>
  <c r="F280" i="1"/>
  <c r="F278" i="1"/>
  <c r="D5" i="38" s="1"/>
  <c r="F283" i="1" l="1"/>
  <c r="G286" i="1" s="1"/>
  <c r="I16" i="61" l="1"/>
  <c r="I18" i="61" s="1"/>
  <c r="H16" i="61"/>
  <c r="H18" i="61" s="1"/>
  <c r="H19" i="50" s="1"/>
  <c r="G16" i="61"/>
  <c r="G18" i="61" s="1"/>
  <c r="F16" i="61"/>
  <c r="F18" i="61" s="1"/>
  <c r="E18" i="61"/>
  <c r="J12" i="61"/>
  <c r="J17" i="61" s="1"/>
  <c r="J18" i="61" s="1"/>
  <c r="I12" i="61"/>
  <c r="H12" i="61"/>
  <c r="G12" i="61"/>
  <c r="F12" i="61"/>
  <c r="E12" i="61"/>
  <c r="D129" i="64" l="1"/>
  <c r="E129" i="64" s="1"/>
  <c r="C28" i="38"/>
  <c r="I52" i="38"/>
  <c r="J52" i="38" s="1"/>
  <c r="X25" i="55" l="1"/>
  <c r="P26" i="55"/>
  <c r="P30" i="55" s="1"/>
  <c r="P34" i="55" s="1"/>
  <c r="O26" i="55"/>
  <c r="O30" i="55" s="1"/>
  <c r="O34" i="55" s="1"/>
  <c r="N26" i="55"/>
  <c r="N30" i="55" s="1"/>
  <c r="N34" i="55" s="1"/>
  <c r="AA239" i="54"/>
  <c r="Y239" i="54"/>
  <c r="T239" i="54"/>
  <c r="S239" i="54"/>
  <c r="R217" i="54"/>
  <c r="R239" i="54" s="1"/>
  <c r="Q217" i="54"/>
  <c r="P217" i="54"/>
  <c r="P239" i="54" s="1"/>
  <c r="N217" i="54"/>
  <c r="M217" i="54"/>
  <c r="L217" i="54"/>
  <c r="K217" i="54"/>
  <c r="J217" i="54"/>
  <c r="I217" i="54"/>
  <c r="H217" i="54"/>
  <c r="G217" i="54"/>
  <c r="F217" i="54"/>
  <c r="E217" i="54"/>
  <c r="V255" i="54"/>
  <c r="U255" i="54"/>
  <c r="T255" i="54"/>
  <c r="S255" i="54"/>
  <c r="W255" i="54"/>
  <c r="M212" i="54"/>
  <c r="AA215" i="54"/>
  <c r="Y215" i="54"/>
  <c r="T215" i="54"/>
  <c r="W247" i="54"/>
  <c r="V247" i="54"/>
  <c r="U247" i="54"/>
  <c r="T247" i="54"/>
  <c r="S247" i="54"/>
  <c r="R247" i="54"/>
  <c r="Q247" i="54"/>
  <c r="P247" i="54"/>
  <c r="O247" i="54"/>
  <c r="W254" i="54"/>
  <c r="V254" i="54"/>
  <c r="U254" i="54"/>
  <c r="T254" i="54"/>
  <c r="S254" i="54"/>
  <c r="R254" i="54"/>
  <c r="Q254" i="54"/>
  <c r="P254" i="54"/>
  <c r="O254" i="54"/>
  <c r="V253" i="54"/>
  <c r="U253" i="54"/>
  <c r="T253" i="54"/>
  <c r="R253" i="54"/>
  <c r="P253" i="54"/>
  <c r="R255" i="54"/>
  <c r="Q255" i="54"/>
  <c r="P255" i="54"/>
  <c r="O255" i="54"/>
  <c r="D89" i="59"/>
  <c r="Y190" i="54"/>
  <c r="T190" i="54"/>
  <c r="S190" i="54"/>
  <c r="R190" i="54"/>
  <c r="Q190" i="54"/>
  <c r="P190" i="54"/>
  <c r="Y200" i="54"/>
  <c r="T200" i="54"/>
  <c r="S200" i="54"/>
  <c r="R200" i="54"/>
  <c r="Q200" i="54"/>
  <c r="P200" i="54"/>
  <c r="D10" i="50"/>
  <c r="D13" i="50"/>
  <c r="D15" i="50" s="1"/>
  <c r="G20" i="50" s="1"/>
  <c r="E20" i="50"/>
  <c r="F20" i="50"/>
  <c r="H20" i="50"/>
  <c r="I20" i="50"/>
  <c r="E12" i="36"/>
  <c r="F12" i="36"/>
  <c r="G12" i="36"/>
  <c r="I12" i="36"/>
  <c r="I19" i="50" s="1"/>
  <c r="E16" i="36"/>
  <c r="E18" i="36" s="1"/>
  <c r="C38" i="38" s="1"/>
  <c r="F16" i="36"/>
  <c r="F18" i="36" s="1"/>
  <c r="D38" i="38" s="1"/>
  <c r="AD201" i="54" s="1"/>
  <c r="G16" i="36"/>
  <c r="G18" i="36" s="1"/>
  <c r="E38" i="38" s="1"/>
  <c r="H18" i="36"/>
  <c r="F38" i="38" s="1"/>
  <c r="I16" i="36"/>
  <c r="I18" i="36" s="1"/>
  <c r="G38" i="38" s="1"/>
  <c r="G36" i="38"/>
  <c r="D34" i="38"/>
  <c r="AD180" i="54" s="1"/>
  <c r="H34" i="38"/>
  <c r="AB179" i="54" s="1"/>
  <c r="H68" i="18"/>
  <c r="H69" i="18"/>
  <c r="H70" i="18"/>
  <c r="D7" i="1"/>
  <c r="D8" i="1"/>
  <c r="B42" i="1"/>
  <c r="D31" i="1"/>
  <c r="D33" i="1"/>
  <c r="D58" i="1"/>
  <c r="D61" i="1"/>
  <c r="D62" i="1"/>
  <c r="D66" i="1"/>
  <c r="D69" i="1"/>
  <c r="D81" i="1"/>
  <c r="D82" i="1"/>
  <c r="D83" i="1"/>
  <c r="D92" i="1"/>
  <c r="D114" i="1"/>
  <c r="D121" i="1"/>
  <c r="E281" i="1"/>
  <c r="B29" i="18" s="1"/>
  <c r="D165" i="1"/>
  <c r="B26" i="18"/>
  <c r="E280" i="1"/>
  <c r="E282" i="1"/>
  <c r="B30" i="18" s="1"/>
  <c r="I11" i="54"/>
  <c r="I148" i="54" s="1"/>
  <c r="J11" i="54"/>
  <c r="F25" i="54"/>
  <c r="P26" i="54"/>
  <c r="R26" i="54"/>
  <c r="T26" i="54"/>
  <c r="H27" i="54"/>
  <c r="O27" i="54"/>
  <c r="Q27" i="54"/>
  <c r="F31" i="54"/>
  <c r="N31" i="54"/>
  <c r="L32" i="54"/>
  <c r="F37" i="54"/>
  <c r="Q37" i="54"/>
  <c r="O38" i="54"/>
  <c r="Q38" i="54"/>
  <c r="M43" i="54"/>
  <c r="O43" i="54"/>
  <c r="Q43" i="54"/>
  <c r="F44" i="54"/>
  <c r="Q44" i="54"/>
  <c r="M45" i="54"/>
  <c r="O45" i="54"/>
  <c r="P45" i="54"/>
  <c r="Q45" i="54"/>
  <c r="R45" i="54"/>
  <c r="T45" i="54"/>
  <c r="K53" i="54"/>
  <c r="F56" i="54"/>
  <c r="M56" i="54"/>
  <c r="Q56" i="54"/>
  <c r="O58" i="54"/>
  <c r="O65" i="54"/>
  <c r="Q69" i="54"/>
  <c r="Q70" i="54"/>
  <c r="R77" i="54"/>
  <c r="P87" i="54"/>
  <c r="R87" i="54"/>
  <c r="P93" i="54"/>
  <c r="P94" i="54"/>
  <c r="N98" i="54"/>
  <c r="M99" i="54"/>
  <c r="P99" i="54"/>
  <c r="K100" i="54"/>
  <c r="M100" i="54"/>
  <c r="P100" i="54"/>
  <c r="Q119" i="54"/>
  <c r="Q120" i="54"/>
  <c r="M122" i="54"/>
  <c r="Q122" i="54"/>
  <c r="H132" i="54"/>
  <c r="L132" i="54"/>
  <c r="L266" i="54" s="1"/>
  <c r="O136" i="54"/>
  <c r="Q136" i="54"/>
  <c r="O137" i="54"/>
  <c r="Q137" i="54"/>
  <c r="N139" i="54"/>
  <c r="N266" i="54" s="1"/>
  <c r="O140" i="54"/>
  <c r="Q140" i="54"/>
  <c r="H142" i="54"/>
  <c r="K142" i="54"/>
  <c r="M142" i="54"/>
  <c r="F145" i="54"/>
  <c r="O145" i="54"/>
  <c r="Q145" i="54"/>
  <c r="H147" i="54"/>
  <c r="E148" i="54"/>
  <c r="G148" i="54"/>
  <c r="J148" i="54"/>
  <c r="K148" i="54"/>
  <c r="L148" i="54"/>
  <c r="M148" i="54"/>
  <c r="N148" i="54"/>
  <c r="L153" i="54"/>
  <c r="L154" i="54"/>
  <c r="L184" i="54" s="1"/>
  <c r="L195" i="54" s="1"/>
  <c r="L206" i="54" s="1"/>
  <c r="L159" i="54"/>
  <c r="L179" i="54" s="1"/>
  <c r="M159" i="54"/>
  <c r="M179" i="54" s="1"/>
  <c r="Q159" i="54"/>
  <c r="Q179" i="54" s="1"/>
  <c r="P160" i="54"/>
  <c r="P179" i="54" s="1"/>
  <c r="O167" i="54"/>
  <c r="H171" i="54"/>
  <c r="H179" i="54" s="1"/>
  <c r="K171" i="54"/>
  <c r="K179" i="54" s="1"/>
  <c r="M171" i="54"/>
  <c r="O171" i="54"/>
  <c r="L176" i="54"/>
  <c r="L177" i="54"/>
  <c r="L183" i="54"/>
  <c r="L194" i="54" s="1"/>
  <c r="L205" i="54" s="1"/>
  <c r="J189" i="54"/>
  <c r="M189" i="54"/>
  <c r="M249" i="54" s="1"/>
  <c r="O189" i="54"/>
  <c r="O190" i="54" s="1"/>
  <c r="E190" i="54"/>
  <c r="F190" i="54"/>
  <c r="G190" i="54"/>
  <c r="H190" i="54"/>
  <c r="I190" i="54"/>
  <c r="J190" i="54"/>
  <c r="K190" i="54"/>
  <c r="L190" i="54"/>
  <c r="M190" i="54"/>
  <c r="N190" i="54"/>
  <c r="O199" i="54"/>
  <c r="O200" i="54" s="1"/>
  <c r="E200" i="54"/>
  <c r="F200" i="54"/>
  <c r="G200" i="54"/>
  <c r="H200" i="54"/>
  <c r="I200" i="54"/>
  <c r="J200" i="54"/>
  <c r="K200" i="54"/>
  <c r="L200" i="54"/>
  <c r="M200" i="54"/>
  <c r="N200" i="54"/>
  <c r="K208" i="54"/>
  <c r="M208" i="54"/>
  <c r="Q208" i="54"/>
  <c r="S215" i="54"/>
  <c r="L221" i="54"/>
  <c r="L222" i="54"/>
  <c r="O229" i="54"/>
  <c r="O253" i="54" s="1"/>
  <c r="E239" i="54"/>
  <c r="F239" i="54"/>
  <c r="G239" i="54"/>
  <c r="H239" i="54"/>
  <c r="I239" i="54"/>
  <c r="J239" i="54"/>
  <c r="K239" i="54"/>
  <c r="L239" i="54"/>
  <c r="M239" i="54"/>
  <c r="N239" i="54"/>
  <c r="E241" i="54"/>
  <c r="E270" i="54" s="1"/>
  <c r="F241" i="54"/>
  <c r="G241" i="54"/>
  <c r="G270" i="54" s="1"/>
  <c r="H241" i="54"/>
  <c r="I241" i="54"/>
  <c r="I243" i="54" s="1"/>
  <c r="J241" i="54"/>
  <c r="J270" i="54" s="1"/>
  <c r="K241" i="54"/>
  <c r="L241" i="54"/>
  <c r="L270" i="54" s="1"/>
  <c r="M241" i="54"/>
  <c r="N241" i="54"/>
  <c r="N270" i="54" s="1"/>
  <c r="H243" i="54"/>
  <c r="H245" i="54" s="1"/>
  <c r="F245" i="54"/>
  <c r="K245" i="54"/>
  <c r="M245" i="54"/>
  <c r="O245" i="54"/>
  <c r="Q245" i="54"/>
  <c r="S245" i="54"/>
  <c r="U245" i="54"/>
  <c r="V245" i="54"/>
  <c r="W245" i="54"/>
  <c r="F246" i="54"/>
  <c r="H246" i="54"/>
  <c r="K246" i="54"/>
  <c r="M246" i="54"/>
  <c r="N246" i="54"/>
  <c r="O246" i="54"/>
  <c r="P246" i="54"/>
  <c r="Q246" i="54"/>
  <c r="S246" i="54"/>
  <c r="U246" i="54"/>
  <c r="V246" i="54"/>
  <c r="W246" i="54"/>
  <c r="F248" i="54"/>
  <c r="H248" i="54"/>
  <c r="K248" i="54"/>
  <c r="M248" i="54"/>
  <c r="O248" i="54"/>
  <c r="Q248" i="54"/>
  <c r="S248" i="54"/>
  <c r="U248" i="54"/>
  <c r="V248" i="54"/>
  <c r="W248" i="54"/>
  <c r="F249" i="54"/>
  <c r="H249" i="54"/>
  <c r="K249" i="54"/>
  <c r="Q249" i="54"/>
  <c r="S249" i="54"/>
  <c r="U249" i="54"/>
  <c r="V249" i="54"/>
  <c r="W249" i="54"/>
  <c r="F250" i="54"/>
  <c r="H250" i="54"/>
  <c r="K250" i="54"/>
  <c r="M250" i="54"/>
  <c r="Q250" i="54"/>
  <c r="S250" i="54"/>
  <c r="U250" i="54"/>
  <c r="V250" i="54"/>
  <c r="W250" i="54"/>
  <c r="K253" i="54"/>
  <c r="M253" i="54"/>
  <c r="F255" i="54"/>
  <c r="H255" i="54"/>
  <c r="K255" i="54"/>
  <c r="M255" i="54"/>
  <c r="N255" i="54"/>
  <c r="H259" i="54"/>
  <c r="F260" i="54"/>
  <c r="F261" i="54" s="1"/>
  <c r="H260" i="54"/>
  <c r="K260" i="54"/>
  <c r="K261" i="54" s="1"/>
  <c r="M260" i="54"/>
  <c r="M261" i="54" s="1"/>
  <c r="O260" i="54"/>
  <c r="O261" i="54" s="1"/>
  <c r="Q260" i="54"/>
  <c r="Q261" i="54" s="1"/>
  <c r="S261" i="54"/>
  <c r="U261" i="54"/>
  <c r="V261" i="54"/>
  <c r="W260" i="54"/>
  <c r="W261" i="54" s="1"/>
  <c r="E265" i="54"/>
  <c r="G265" i="54"/>
  <c r="I265" i="54"/>
  <c r="J265" i="54"/>
  <c r="L265" i="54"/>
  <c r="N265" i="54"/>
  <c r="R265" i="54"/>
  <c r="T265" i="54"/>
  <c r="AA265" i="54"/>
  <c r="E266" i="54"/>
  <c r="G266" i="54"/>
  <c r="I266" i="54"/>
  <c r="J266" i="54"/>
  <c r="R266" i="54"/>
  <c r="E267" i="54"/>
  <c r="G267" i="54"/>
  <c r="I267" i="54"/>
  <c r="J267" i="54"/>
  <c r="L267" i="54"/>
  <c r="N267" i="54"/>
  <c r="R267" i="54"/>
  <c r="T267" i="54"/>
  <c r="AA267" i="54"/>
  <c r="E272" i="54"/>
  <c r="G272" i="54"/>
  <c r="I272" i="54"/>
  <c r="J272" i="54"/>
  <c r="L272" i="54"/>
  <c r="N272" i="54"/>
  <c r="R272" i="54"/>
  <c r="T272" i="54"/>
  <c r="AA272" i="54"/>
  <c r="E273" i="54"/>
  <c r="G273" i="54"/>
  <c r="I273" i="54"/>
  <c r="J273" i="54"/>
  <c r="L273" i="54"/>
  <c r="N273" i="54"/>
  <c r="R273" i="54"/>
  <c r="T273" i="54"/>
  <c r="AA273" i="54"/>
  <c r="R277" i="54"/>
  <c r="T283" i="54"/>
  <c r="G38" i="59"/>
  <c r="G77" i="59"/>
  <c r="M6" i="55"/>
  <c r="M7" i="55"/>
  <c r="Y7" i="55"/>
  <c r="AE7" i="55" s="1"/>
  <c r="AH7" i="55" s="1"/>
  <c r="M8" i="55"/>
  <c r="Y8" i="55"/>
  <c r="AE8" i="55" s="1"/>
  <c r="AH8" i="55" s="1"/>
  <c r="L9" i="55"/>
  <c r="M9" i="55"/>
  <c r="Y9" i="55"/>
  <c r="AE9" i="55" s="1"/>
  <c r="AH9" i="55" s="1"/>
  <c r="B10" i="55"/>
  <c r="B34" i="55" s="1"/>
  <c r="M10" i="55"/>
  <c r="Y10" i="55"/>
  <c r="AE10" i="55" s="1"/>
  <c r="AH10" i="55" s="1"/>
  <c r="M11" i="55"/>
  <c r="Y11" i="55"/>
  <c r="AE11" i="55" s="1"/>
  <c r="AH11" i="55" s="1"/>
  <c r="L12" i="55"/>
  <c r="M12" i="55"/>
  <c r="Y12" i="55"/>
  <c r="AE12" i="55" s="1"/>
  <c r="AH12" i="55" s="1"/>
  <c r="M13" i="55"/>
  <c r="Y13" i="55"/>
  <c r="AE13" i="55" s="1"/>
  <c r="AH13" i="55" s="1"/>
  <c r="M14" i="55"/>
  <c r="Y14" i="55"/>
  <c r="AE14" i="55" s="1"/>
  <c r="AH14" i="55" s="1"/>
  <c r="M15" i="55"/>
  <c r="Y15" i="55"/>
  <c r="AH15" i="55" s="1"/>
  <c r="M16" i="55"/>
  <c r="Y16" i="55"/>
  <c r="AE16" i="55" s="1"/>
  <c r="AH16" i="55" s="1"/>
  <c r="M17" i="55"/>
  <c r="Y17" i="55"/>
  <c r="AE17" i="55" s="1"/>
  <c r="AH17" i="55" s="1"/>
  <c r="M18" i="55"/>
  <c r="Y18" i="55"/>
  <c r="AE18" i="55" s="1"/>
  <c r="AH18" i="55" s="1"/>
  <c r="M19" i="55"/>
  <c r="Y19" i="55"/>
  <c r="AE19" i="55" s="1"/>
  <c r="AH19" i="55" s="1"/>
  <c r="M20" i="55"/>
  <c r="Y20" i="55"/>
  <c r="AE20" i="55" s="1"/>
  <c r="AH20" i="55" s="1"/>
  <c r="M21" i="55"/>
  <c r="Y21" i="55"/>
  <c r="AE21" i="55" s="1"/>
  <c r="AH21" i="55" s="1"/>
  <c r="M22" i="55"/>
  <c r="Y22" i="55"/>
  <c r="AE22" i="55" s="1"/>
  <c r="AH22" i="55" s="1"/>
  <c r="M24" i="55"/>
  <c r="Y24" i="55"/>
  <c r="AE24" i="55" s="1"/>
  <c r="AH24" i="55" s="1"/>
  <c r="L25" i="55"/>
  <c r="M25" i="55" s="1"/>
  <c r="Y25" i="55"/>
  <c r="AE25" i="55" s="1"/>
  <c r="AH25" i="55" s="1"/>
  <c r="C26" i="55"/>
  <c r="C34" i="55" s="1"/>
  <c r="D26" i="55"/>
  <c r="D34" i="55" s="1"/>
  <c r="E26" i="55"/>
  <c r="E34" i="55" s="1"/>
  <c r="F26" i="55"/>
  <c r="F30" i="55" s="1"/>
  <c r="F34" i="55" s="1"/>
  <c r="G26" i="55"/>
  <c r="H26" i="55"/>
  <c r="I26" i="55"/>
  <c r="J26" i="55"/>
  <c r="K26" i="55"/>
  <c r="L26" i="55"/>
  <c r="M26" i="55"/>
  <c r="X26" i="55"/>
  <c r="X30" i="55" s="1"/>
  <c r="X34" i="55" s="1"/>
  <c r="U39" i="55"/>
  <c r="M28" i="55"/>
  <c r="Y28" i="55"/>
  <c r="AE28" i="55" s="1"/>
  <c r="AH28" i="55" s="1"/>
  <c r="G30" i="55"/>
  <c r="H30" i="55"/>
  <c r="I30" i="55"/>
  <c r="J30" i="55"/>
  <c r="K30" i="55"/>
  <c r="L30" i="55"/>
  <c r="M30" i="55"/>
  <c r="I32" i="55"/>
  <c r="L32" i="55"/>
  <c r="M32" i="55" s="1"/>
  <c r="G34" i="55"/>
  <c r="H34" i="55"/>
  <c r="I34" i="55"/>
  <c r="J34" i="55"/>
  <c r="K34" i="55"/>
  <c r="L34" i="55"/>
  <c r="M34" i="55"/>
  <c r="D26" i="38"/>
  <c r="E26" i="38"/>
  <c r="G26" i="38"/>
  <c r="D25" i="38"/>
  <c r="E25" i="38"/>
  <c r="G25" i="38"/>
  <c r="J27" i="38"/>
  <c r="Y32" i="55"/>
  <c r="AE32" i="55" s="1"/>
  <c r="AH32" i="55" s="1"/>
  <c r="S148" i="54"/>
  <c r="Y148" i="54"/>
  <c r="Y6" i="55"/>
  <c r="AE6" i="55" s="1"/>
  <c r="AH6" i="55" s="1"/>
  <c r="AB200" i="54" l="1"/>
  <c r="B28" i="18"/>
  <c r="B32" i="18" s="1"/>
  <c r="I32" i="18" s="1"/>
  <c r="B132" i="64"/>
  <c r="AA241" i="54"/>
  <c r="G83" i="59"/>
  <c r="D127" i="64"/>
  <c r="J38" i="38"/>
  <c r="D87" i="59"/>
  <c r="O217" i="54"/>
  <c r="O239" i="54" s="1"/>
  <c r="O179" i="54"/>
  <c r="J25" i="38"/>
  <c r="O249" i="54"/>
  <c r="Q239" i="54"/>
  <c r="R148" i="54"/>
  <c r="R241" i="54" s="1"/>
  <c r="R270" i="54" s="1"/>
  <c r="D88" i="59"/>
  <c r="H148" i="54"/>
  <c r="E275" i="54"/>
  <c r="F148" i="54"/>
  <c r="I275" i="54"/>
  <c r="Y241" i="54"/>
  <c r="Y264" i="54" s="1"/>
  <c r="AH26" i="55"/>
  <c r="AH30" i="55" s="1"/>
  <c r="AH34" i="55" s="1"/>
  <c r="J32" i="38"/>
  <c r="J26" i="38"/>
  <c r="J14" i="38"/>
  <c r="R275" i="54"/>
  <c r="R278" i="54" s="1"/>
  <c r="G34" i="38"/>
  <c r="E19" i="50"/>
  <c r="F256" i="54"/>
  <c r="N275" i="54"/>
  <c r="J275" i="54"/>
  <c r="H256" i="54"/>
  <c r="Q148" i="54"/>
  <c r="H261" i="54"/>
  <c r="P148" i="54"/>
  <c r="P241" i="54" s="1"/>
  <c r="P264" i="54" s="1"/>
  <c r="T275" i="54"/>
  <c r="T148" i="54"/>
  <c r="T217" i="54" s="1"/>
  <c r="J11" i="38"/>
  <c r="AE26" i="55"/>
  <c r="AE30" i="55" s="1"/>
  <c r="AE34" i="55" s="1"/>
  <c r="B43" i="1"/>
  <c r="D43" i="1" s="1"/>
  <c r="I270" i="54"/>
  <c r="AA275" i="54"/>
  <c r="O148" i="54"/>
  <c r="S241" i="54"/>
  <c r="S264" i="54" s="1"/>
  <c r="O250" i="54"/>
  <c r="D34" i="1"/>
  <c r="G79" i="59"/>
  <c r="C83" i="59"/>
  <c r="F83" i="59"/>
  <c r="F84" i="59" s="1"/>
  <c r="L275" i="54"/>
  <c r="K256" i="54"/>
  <c r="Q256" i="54"/>
  <c r="Q262" i="54" s="1"/>
  <c r="D63" i="1"/>
  <c r="D28" i="1"/>
  <c r="B53" i="1" s="1"/>
  <c r="D18" i="1"/>
  <c r="AB30" i="55"/>
  <c r="AB34" i="55" s="1"/>
  <c r="Y26" i="55"/>
  <c r="Y30" i="55" s="1"/>
  <c r="Y34" i="55" s="1"/>
  <c r="J8" i="38"/>
  <c r="G275" i="54"/>
  <c r="V241" i="54"/>
  <c r="J31" i="38"/>
  <c r="D9" i="1"/>
  <c r="W241" i="54"/>
  <c r="S256" i="54"/>
  <c r="S262" i="54" s="1"/>
  <c r="U241" i="54"/>
  <c r="V256" i="54"/>
  <c r="V262" i="54" s="1"/>
  <c r="W256" i="54"/>
  <c r="Y217" i="54"/>
  <c r="U256" i="54"/>
  <c r="U262" i="54" s="1"/>
  <c r="S217" i="54"/>
  <c r="H84" i="59"/>
  <c r="E83" i="59"/>
  <c r="D83" i="59"/>
  <c r="F34" i="38"/>
  <c r="J15" i="38"/>
  <c r="J13" i="38"/>
  <c r="J17" i="38"/>
  <c r="J12" i="38"/>
  <c r="AA217" i="54"/>
  <c r="AB217" i="54" s="1"/>
  <c r="D41" i="1"/>
  <c r="D42" i="1"/>
  <c r="B51" i="1"/>
  <c r="M256" i="54"/>
  <c r="E283" i="1"/>
  <c r="O256" i="54" l="1"/>
  <c r="O262" i="54" s="1"/>
  <c r="Q241" i="54"/>
  <c r="Q264" i="54" s="1"/>
  <c r="D132" i="64"/>
  <c r="E127" i="64"/>
  <c r="E132" i="64" s="1"/>
  <c r="AA270" i="54"/>
  <c r="B6" i="52" s="1"/>
  <c r="D51" i="1"/>
  <c r="C5" i="38"/>
  <c r="C22" i="38" s="1"/>
  <c r="C29" i="38" s="1"/>
  <c r="C40" i="38" s="1"/>
  <c r="B52" i="1"/>
  <c r="D52" i="1" s="1"/>
  <c r="B74" i="1"/>
  <c r="D74" i="1" s="1"/>
  <c r="G84" i="59"/>
  <c r="U264" i="54"/>
  <c r="C84" i="59"/>
  <c r="V264" i="54"/>
  <c r="D84" i="59"/>
  <c r="E84" i="59"/>
  <c r="B73" i="1"/>
  <c r="D73" i="1" s="1"/>
  <c r="B75" i="1"/>
  <c r="B84" i="1" s="1"/>
  <c r="B44" i="1"/>
  <c r="D44" i="1" s="1"/>
  <c r="B45" i="1"/>
  <c r="D45" i="1" s="1"/>
  <c r="T241" i="54"/>
  <c r="T264" i="54" s="1"/>
  <c r="T270" i="54" s="1"/>
  <c r="R264" i="54"/>
  <c r="J9" i="38"/>
  <c r="J6" i="38"/>
  <c r="G22" i="38"/>
  <c r="D37" i="1"/>
  <c r="O241" i="54"/>
  <c r="O264" i="54" s="1"/>
  <c r="D53" i="1"/>
  <c r="W264" i="54"/>
  <c r="W262" i="54"/>
  <c r="E34" i="38"/>
  <c r="B80" i="1"/>
  <c r="D80" i="1" s="1"/>
  <c r="B50" i="1"/>
  <c r="D50" i="1" s="1"/>
  <c r="B72" i="1"/>
  <c r="D72" i="1" s="1"/>
  <c r="B40" i="1"/>
  <c r="D40" i="1" s="1"/>
  <c r="F40" i="38"/>
  <c r="B143" i="64" l="1"/>
  <c r="B148" i="64" s="1"/>
  <c r="B5" i="66"/>
  <c r="E5" i="66" s="1"/>
  <c r="B134" i="64"/>
  <c r="B136" i="64" s="1"/>
  <c r="B138" i="64" s="1"/>
  <c r="B139" i="64" s="1"/>
  <c r="C54" i="38"/>
  <c r="D84" i="1"/>
  <c r="D85" i="1" s="1"/>
  <c r="G29" i="38"/>
  <c r="D75" i="1"/>
  <c r="J20" i="38"/>
  <c r="B54" i="1"/>
  <c r="D54" i="1" s="1"/>
  <c r="D55" i="1" s="1"/>
  <c r="J10" i="38"/>
  <c r="B46" i="1"/>
  <c r="D46" i="1" s="1"/>
  <c r="D47" i="1" s="1"/>
  <c r="B76" i="1"/>
  <c r="D76" i="1" s="1"/>
  <c r="J16" i="38"/>
  <c r="F54" i="38"/>
  <c r="I34" i="38"/>
  <c r="J34" i="38" s="1"/>
  <c r="D143" i="64" l="1"/>
  <c r="D148" i="64" s="1"/>
  <c r="G40" i="38"/>
  <c r="D77" i="1"/>
  <c r="J5" i="38"/>
  <c r="F143" i="64" l="1"/>
  <c r="G54" i="38"/>
  <c r="J18" i="38"/>
  <c r="J19" i="38"/>
  <c r="G60" i="38" l="1"/>
  <c r="B4" i="66"/>
  <c r="F148" i="64"/>
  <c r="F150" i="64" s="1"/>
  <c r="G19" i="50"/>
  <c r="E22" i="38"/>
  <c r="E29" i="38" l="1"/>
  <c r="E40" i="38" l="1"/>
  <c r="D134" i="64" l="1"/>
  <c r="D136" i="64" s="1"/>
  <c r="D138" i="64" s="1"/>
  <c r="D139" i="64" s="1"/>
  <c r="E54" i="38"/>
  <c r="F19" i="50" l="1"/>
  <c r="D36" i="38" l="1"/>
  <c r="AD190" i="54" l="1"/>
  <c r="J36" i="38"/>
  <c r="J19" i="50" l="1"/>
  <c r="J377" i="3" l="1"/>
  <c r="G26" i="18"/>
  <c r="F377" i="3"/>
  <c r="C26" i="18"/>
  <c r="J380" i="3" l="1"/>
  <c r="H7" i="38" s="1"/>
  <c r="G28" i="18"/>
  <c r="G32" i="18" s="1"/>
  <c r="F380" i="3"/>
  <c r="C28" i="18"/>
  <c r="C32" i="18" s="1"/>
  <c r="J32" i="18" s="1"/>
  <c r="H22" i="38" l="1"/>
  <c r="H29" i="38" s="1"/>
  <c r="H40" i="38" s="1"/>
  <c r="J384" i="3"/>
  <c r="J385" i="3" s="1"/>
  <c r="D7" i="38"/>
  <c r="D22" i="38" l="1"/>
  <c r="D29" i="38" s="1"/>
  <c r="D40" i="38" s="1"/>
  <c r="H54" i="38"/>
  <c r="B12" i="52"/>
  <c r="B17" i="52" s="1"/>
  <c r="F51" i="52" s="1"/>
  <c r="T277" i="54"/>
  <c r="I22" i="38"/>
  <c r="J7" i="38"/>
  <c r="C5" i="52" l="1"/>
  <c r="C12" i="52" s="1"/>
  <c r="C17" i="52" s="1"/>
  <c r="C134" i="64"/>
  <c r="D54" i="38"/>
  <c r="I84" i="59"/>
  <c r="AB241" i="54"/>
  <c r="B12" i="66"/>
  <c r="AA277" i="54" s="1"/>
  <c r="AA278" i="54" s="1"/>
  <c r="I29" i="38"/>
  <c r="I40" i="38" s="1"/>
  <c r="J22" i="38"/>
  <c r="B17" i="66" l="1"/>
  <c r="F51" i="66" s="1"/>
  <c r="D60" i="38"/>
  <c r="C4" i="66"/>
  <c r="C12" i="66" s="1"/>
  <c r="C17" i="66" s="1"/>
  <c r="C136" i="64"/>
  <c r="C138" i="64" s="1"/>
  <c r="C139" i="64" s="1"/>
  <c r="J29" i="38"/>
  <c r="I54" i="38"/>
  <c r="F50" i="66" l="1"/>
  <c r="G17" i="66"/>
  <c r="G18" i="66" s="1"/>
  <c r="Z277" i="54"/>
  <c r="Z278" i="54" s="1"/>
  <c r="J40" i="38"/>
  <c r="J54" i="38"/>
  <c r="E18" i="66" l="1"/>
  <c r="E19" i="66" l="1"/>
  <c r="F18" i="66"/>
</calcChain>
</file>

<file path=xl/comments1.xml><?xml version="1.0" encoding="utf-8"?>
<comments xmlns="http://schemas.openxmlformats.org/spreadsheetml/2006/main">
  <authors>
    <author>Thomas Boland</author>
  </authors>
  <commentList>
    <comment ref="D120" authorId="0" shapeId="0">
      <text>
        <r>
          <rPr>
            <b/>
            <sz val="9"/>
            <color indexed="81"/>
            <rFont val="Tahoma"/>
            <family val="2"/>
          </rPr>
          <t>Thomas Boland:</t>
        </r>
        <r>
          <rPr>
            <sz val="9"/>
            <color indexed="81"/>
            <rFont val="Tahoma"/>
            <family val="2"/>
          </rPr>
          <t xml:space="preserve">
Based on current quote from Twin State</t>
        </r>
      </text>
    </comment>
  </commentList>
</comments>
</file>

<file path=xl/comments10.xml><?xml version="1.0" encoding="utf-8"?>
<comments xmlns="http://schemas.openxmlformats.org/spreadsheetml/2006/main">
  <authors>
    <author>Matthew Casparius</author>
    <author>Thomas Boland</author>
  </authors>
  <commentList>
    <comment ref="G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H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I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J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D19" authorId="0" shapeId="0">
      <text>
        <r>
          <rPr>
            <b/>
            <sz val="9"/>
            <color indexed="81"/>
            <rFont val="Tahoma"/>
            <family val="2"/>
          </rPr>
          <t>Matthew Casparius:</t>
        </r>
        <r>
          <rPr>
            <sz val="9"/>
            <color indexed="81"/>
            <rFont val="Tahoma"/>
            <family val="2"/>
          </rPr>
          <t xml:space="preserve">
Due to lifeguard shortages, we have found that need 2 Park Attendants instead of just 1. 
</t>
        </r>
      </text>
    </comment>
    <comment ref="D20"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1"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2" authorId="0" shapeId="0">
      <text>
        <r>
          <rPr>
            <b/>
            <sz val="9"/>
            <color indexed="81"/>
            <rFont val="Tahoma"/>
            <family val="2"/>
          </rPr>
          <t>Matthew Casparius:</t>
        </r>
        <r>
          <rPr>
            <sz val="9"/>
            <color indexed="81"/>
            <rFont val="Tahoma"/>
            <family val="2"/>
          </rPr>
          <t xml:space="preserve">
2% pay increase for PT Year Round Employee
</t>
        </r>
      </text>
    </comment>
    <comment ref="D23" authorId="0" shapeId="0">
      <text>
        <r>
          <rPr>
            <b/>
            <sz val="9"/>
            <color indexed="81"/>
            <rFont val="Tahoma"/>
            <family val="2"/>
          </rPr>
          <t>Matthew Casparius:</t>
        </r>
        <r>
          <rPr>
            <sz val="9"/>
            <color indexed="81"/>
            <rFont val="Tahoma"/>
            <family val="2"/>
          </rPr>
          <t xml:space="preserve">
Unable to find someone for 20 hours per week. Voluntarily eliminated from budget. 
</t>
        </r>
      </text>
    </comment>
    <comment ref="G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H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I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J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D128" authorId="0" shapeId="0">
      <text>
        <r>
          <rPr>
            <b/>
            <sz val="9"/>
            <color indexed="81"/>
            <rFont val="Tahoma"/>
            <family val="2"/>
          </rPr>
          <t>Matthew Casparius:</t>
        </r>
        <r>
          <rPr>
            <sz val="9"/>
            <color indexed="81"/>
            <rFont val="Tahoma"/>
            <family val="2"/>
          </rPr>
          <t xml:space="preserve">
A $20 increase in the cost of this professional membership
</t>
        </r>
      </text>
    </comment>
    <comment ref="D129" authorId="0" shapeId="0">
      <text>
        <r>
          <rPr>
            <b/>
            <sz val="9"/>
            <color indexed="81"/>
            <rFont val="Tahoma"/>
            <family val="2"/>
          </rPr>
          <t>Matthew Casparius:</t>
        </r>
        <r>
          <rPr>
            <sz val="9"/>
            <color indexed="81"/>
            <rFont val="Tahoma"/>
            <family val="2"/>
          </rPr>
          <t xml:space="preserve">
This is a valuable organization to belong too in terms of benefits received by being a member. Unlike the NH Recreation &amp; Park Association, this organization charges fees based on revenues generated by the Camp and their rates increased this year. </t>
        </r>
      </text>
    </comment>
    <comment ref="D188" authorId="1" shapeId="0">
      <text>
        <r>
          <rPr>
            <b/>
            <sz val="9"/>
            <color indexed="81"/>
            <rFont val="Tahoma"/>
            <family val="2"/>
          </rPr>
          <t>Thomas Boland:</t>
        </r>
        <r>
          <rPr>
            <sz val="9"/>
            <color indexed="81"/>
            <rFont val="Tahoma"/>
            <family val="2"/>
          </rPr>
          <t xml:space="preserve">
Rotary has informed Matt that they will not be running the Midway this year.</t>
        </r>
      </text>
    </comment>
    <comment ref="G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H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I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J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D224" authorId="1" shapeId="0">
      <text>
        <r>
          <rPr>
            <b/>
            <sz val="9"/>
            <color indexed="81"/>
            <rFont val="Tahoma"/>
            <family val="2"/>
          </rPr>
          <t>Thomas Boland:</t>
        </r>
        <r>
          <rPr>
            <sz val="9"/>
            <color indexed="81"/>
            <rFont val="Tahoma"/>
            <family val="2"/>
          </rPr>
          <t xml:space="preserve">
Addn'l $3,500 needed to scrape and paint exterior wood surfaces.</t>
        </r>
      </text>
    </comment>
    <comment ref="D229" authorId="1" shapeId="0">
      <text>
        <r>
          <rPr>
            <b/>
            <sz val="9"/>
            <color indexed="81"/>
            <rFont val="Tahoma"/>
            <family val="2"/>
          </rPr>
          <t>Thomas Boland:</t>
        </r>
        <r>
          <rPr>
            <sz val="9"/>
            <color indexed="81"/>
            <rFont val="Tahoma"/>
            <family val="2"/>
          </rPr>
          <t xml:space="preserve">
$8,500 needed to replace carpet and dance floor.  Per TM we will try to find the money in FY22-23.</t>
        </r>
      </text>
    </comment>
    <comment ref="G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H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I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J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List>
</comments>
</file>

<file path=xl/comments11.xml><?xml version="1.0" encoding="utf-8"?>
<comments xmlns="http://schemas.openxmlformats.org/spreadsheetml/2006/main">
  <authors>
    <author>Couser</author>
  </authors>
  <commentList>
    <comment ref="D9" authorId="0" shapeId="0">
      <text>
        <r>
          <rPr>
            <b/>
            <sz val="9"/>
            <color rgb="FF000000"/>
            <rFont val="Tahoma"/>
            <family val="2"/>
          </rPr>
          <t>Couser:</t>
        </r>
        <r>
          <rPr>
            <sz val="9"/>
            <color rgb="FF000000"/>
            <rFont val="Tahoma"/>
            <family val="2"/>
          </rPr>
          <t xml:space="preserve">
Library Trustees voted to eliminate the Head of Adult Services position and restructure the Department - with an eventual goal of combining two desks and cross training the AS and Circulation staff.</t>
        </r>
      </text>
    </comment>
    <comment ref="D20" authorId="0" shapeId="0">
      <text>
        <r>
          <rPr>
            <b/>
            <sz val="9"/>
            <color indexed="81"/>
            <rFont val="Tahoma"/>
            <family val="2"/>
          </rPr>
          <t xml:space="preserve">Couser: </t>
        </r>
        <r>
          <rPr>
            <sz val="9"/>
            <color indexed="81"/>
            <rFont val="Tahoma"/>
            <family val="2"/>
          </rPr>
          <t>Restructuring the Adult Services Dept and create a FT Assistant position to focus on our digital collections, database, and tech training. This is a model other GMILCS libraries have already moved to.</t>
        </r>
        <r>
          <rPr>
            <sz val="9"/>
            <color indexed="81"/>
            <rFont val="Tahoma"/>
            <family val="2"/>
          </rPr>
          <t xml:space="preserve">
</t>
        </r>
      </text>
    </comment>
    <comment ref="D173" authorId="0" shapeId="0">
      <text>
        <r>
          <rPr>
            <b/>
            <sz val="9"/>
            <color rgb="FF000000"/>
            <rFont val="Tahoma"/>
            <family val="2"/>
          </rPr>
          <t xml:space="preserve">Couser: </t>
        </r>
        <r>
          <rPr>
            <sz val="9"/>
            <color rgb="FF000000"/>
            <rFont val="Tahoma"/>
            <family val="2"/>
          </rPr>
          <t xml:space="preserve">2023 GMILCS dues increase </t>
        </r>
      </text>
    </comment>
    <comment ref="D215" authorId="0" shapeId="0">
      <text>
        <r>
          <rPr>
            <b/>
            <sz val="9"/>
            <color rgb="FF000000"/>
            <rFont val="Tahoma"/>
            <family val="2"/>
          </rPr>
          <t>Couser:</t>
        </r>
        <r>
          <rPr>
            <sz val="9"/>
            <color rgb="FF000000"/>
            <rFont val="Tahoma"/>
            <family val="2"/>
          </rPr>
          <t xml:space="preserve">
cut 11 unused print magazines and adjust for rising cost</t>
        </r>
      </text>
    </comment>
    <comment ref="D218" authorId="0" shapeId="0">
      <text>
        <r>
          <rPr>
            <b/>
            <sz val="9"/>
            <color rgb="FF000000"/>
            <rFont val="Tahoma"/>
            <family val="2"/>
          </rPr>
          <t xml:space="preserve">Couser: </t>
        </r>
        <r>
          <rPr>
            <sz val="9"/>
            <color rgb="FF000000"/>
            <rFont val="Tahoma"/>
            <family val="2"/>
          </rPr>
          <t xml:space="preserve">not renewing low usage databases: 
</t>
        </r>
        <r>
          <rPr>
            <sz val="9"/>
            <color rgb="FF000000"/>
            <rFont val="Tahoma"/>
            <family val="2"/>
          </rPr>
          <t>Transparent Language 2000 and Auto Repair 2000 but account for 3% increase ($960) so decrease by 3K</t>
        </r>
      </text>
    </comment>
    <comment ref="D220" authorId="0" shapeId="0">
      <text>
        <r>
          <rPr>
            <b/>
            <sz val="9"/>
            <color rgb="FF000000"/>
            <rFont val="Tahoma"/>
            <family val="2"/>
          </rPr>
          <t xml:space="preserve">Couser: </t>
        </r>
        <r>
          <rPr>
            <sz val="9"/>
            <color rgb="FF000000"/>
            <rFont val="Tahoma"/>
            <family val="2"/>
          </rPr>
          <t xml:space="preserve">Low usage with 250 unique users; conflicts with our collection policy; increasing costs are not sustainable. Let prepayment run out May/June. Can shift some funds to eCloud GMILCS
</t>
        </r>
      </text>
    </comment>
    <comment ref="D225" authorId="0" shapeId="0">
      <text>
        <r>
          <rPr>
            <b/>
            <sz val="9"/>
            <color rgb="FF000000"/>
            <rFont val="Tahoma"/>
            <family val="2"/>
          </rPr>
          <t xml:space="preserve">Couser: </t>
        </r>
        <r>
          <rPr>
            <sz val="9"/>
            <color rgb="FF000000"/>
            <rFont val="Tahoma"/>
            <family val="2"/>
          </rPr>
          <t>physical cd checkout is slowing as patrons move to digital</t>
        </r>
        <r>
          <rPr>
            <sz val="9"/>
            <color rgb="FF000000"/>
            <rFont val="Tahoma"/>
            <family val="2"/>
          </rPr>
          <t xml:space="preserve">
</t>
        </r>
        <r>
          <rPr>
            <sz val="9"/>
            <color rgb="FF000000"/>
            <rFont val="Tahoma"/>
            <family val="2"/>
          </rPr>
          <t xml:space="preserve">decrease from 700
</t>
        </r>
      </text>
    </comment>
    <comment ref="D240" authorId="0" shapeId="0">
      <text>
        <r>
          <rPr>
            <b/>
            <sz val="9"/>
            <color rgb="FF000000"/>
            <rFont val="Tahoma"/>
            <family val="2"/>
          </rPr>
          <t xml:space="preserve">Couser: </t>
        </r>
        <r>
          <rPr>
            <sz val="9"/>
            <color rgb="FF000000"/>
            <rFont val="Tahoma"/>
            <family val="2"/>
          </rPr>
          <t>increase by 1500 to replace self checkout machines in July. Nov 22 quote is $1566</t>
        </r>
      </text>
    </comment>
  </commentList>
</comments>
</file>

<file path=xl/comments12.xml><?xml version="1.0" encoding="utf-8"?>
<comments xmlns="http://schemas.openxmlformats.org/spreadsheetml/2006/main">
  <authors>
    <author>Lori Barrett</author>
  </authors>
  <commentList>
    <comment ref="D123" authorId="0" shapeId="0">
      <text>
        <r>
          <rPr>
            <b/>
            <sz val="9"/>
            <color indexed="81"/>
            <rFont val="Tahoma"/>
            <family val="2"/>
          </rPr>
          <t>Lori Barrett:</t>
        </r>
        <r>
          <rPr>
            <sz val="9"/>
            <color indexed="81"/>
            <rFont val="Tahoma"/>
            <family val="2"/>
          </rPr>
          <t xml:space="preserve">
To install in Mechanic truck for on road repairs</t>
        </r>
      </text>
    </comment>
    <comment ref="D124" authorId="0" shapeId="0">
      <text>
        <r>
          <rPr>
            <b/>
            <sz val="9"/>
            <color indexed="81"/>
            <rFont val="Tahoma"/>
            <family val="2"/>
          </rPr>
          <t>Lori Barrett:</t>
        </r>
        <r>
          <rPr>
            <sz val="9"/>
            <color indexed="81"/>
            <rFont val="Tahoma"/>
            <family val="2"/>
          </rPr>
          <t xml:space="preserve">
Replace equipment from 1996 - still in research process for model and price that best meets Town's need into the future</t>
        </r>
      </text>
    </comment>
  </commentList>
</comments>
</file>

<file path=xl/comments13.xml><?xml version="1.0" encoding="utf-8"?>
<comments xmlns="http://schemas.openxmlformats.org/spreadsheetml/2006/main">
  <authors>
    <author>Thomas Boland</author>
  </authors>
  <commentList>
    <comment ref="D138" authorId="0" shapeId="0">
      <text>
        <r>
          <rPr>
            <b/>
            <sz val="9"/>
            <color indexed="81"/>
            <rFont val="Tahoma"/>
            <family val="2"/>
          </rPr>
          <t>Thomas Boland:</t>
        </r>
        <r>
          <rPr>
            <sz val="9"/>
            <color indexed="81"/>
            <rFont val="Tahoma"/>
            <family val="2"/>
          </rPr>
          <t xml:space="preserve">
TM Reduced by $50k</t>
        </r>
      </text>
    </comment>
  </commentList>
</comments>
</file>

<file path=xl/comments14.xml><?xml version="1.0" encoding="utf-8"?>
<comments xmlns="http://schemas.openxmlformats.org/spreadsheetml/2006/main">
  <authors>
    <author>Timothy J. Thompson</author>
  </authors>
  <commentList>
    <comment ref="G72" authorId="0" shapeId="0">
      <text>
        <r>
          <rPr>
            <b/>
            <sz val="9"/>
            <color indexed="81"/>
            <rFont val="Tahoma"/>
            <family val="2"/>
          </rPr>
          <t>Timothy J. Thompson:</t>
        </r>
        <r>
          <rPr>
            <sz val="9"/>
            <color indexed="81"/>
            <rFont val="Tahoma"/>
            <family val="2"/>
          </rPr>
          <t xml:space="preserve">
Removed, as this can be covered under 8201</t>
        </r>
      </text>
    </comment>
    <comment ref="H72" authorId="0" shapeId="0">
      <text>
        <r>
          <rPr>
            <b/>
            <sz val="9"/>
            <color indexed="81"/>
            <rFont val="Tahoma"/>
            <family val="2"/>
          </rPr>
          <t>Timothy J. Thompson:</t>
        </r>
        <r>
          <rPr>
            <sz val="9"/>
            <color indexed="81"/>
            <rFont val="Tahoma"/>
            <family val="2"/>
          </rPr>
          <t xml:space="preserve">
Removed, as this can be covered under 8201</t>
        </r>
      </text>
    </comment>
    <comment ref="I72" authorId="0" shapeId="0">
      <text>
        <r>
          <rPr>
            <b/>
            <sz val="9"/>
            <color indexed="81"/>
            <rFont val="Tahoma"/>
            <family val="2"/>
          </rPr>
          <t>Timothy J. Thompson:</t>
        </r>
        <r>
          <rPr>
            <sz val="9"/>
            <color indexed="81"/>
            <rFont val="Tahoma"/>
            <family val="2"/>
          </rPr>
          <t xml:space="preserve">
Removed, as this can be covered under 8201</t>
        </r>
      </text>
    </comment>
    <comment ref="J72" authorId="0" shapeId="0">
      <text>
        <r>
          <rPr>
            <b/>
            <sz val="9"/>
            <color indexed="81"/>
            <rFont val="Tahoma"/>
            <family val="2"/>
          </rPr>
          <t>Timothy J. Thompson:</t>
        </r>
        <r>
          <rPr>
            <sz val="9"/>
            <color indexed="81"/>
            <rFont val="Tahoma"/>
            <family val="2"/>
          </rPr>
          <t xml:space="preserve">
Removed, as this can be covered under 8201</t>
        </r>
      </text>
    </comment>
    <comment ref="G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H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I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J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D92" authorId="0" shapeId="0">
      <text>
        <r>
          <rPr>
            <b/>
            <sz val="9"/>
            <color indexed="81"/>
            <rFont val="Tahoma"/>
            <family val="2"/>
          </rPr>
          <t>Timothy J. Thompson:</t>
        </r>
        <r>
          <rPr>
            <sz val="9"/>
            <color indexed="81"/>
            <rFont val="Tahoma"/>
            <family val="2"/>
          </rPr>
          <t xml:space="preserve">
updated dues from NRPC</t>
        </r>
      </text>
    </comment>
    <comment ref="D93" authorId="0" shapeId="0">
      <text>
        <r>
          <rPr>
            <b/>
            <sz val="9"/>
            <color indexed="81"/>
            <rFont val="Tahoma"/>
            <family val="2"/>
          </rPr>
          <t>Timothy J. Thompson:</t>
        </r>
        <r>
          <rPr>
            <sz val="9"/>
            <color indexed="81"/>
            <rFont val="Tahoma"/>
            <family val="2"/>
          </rPr>
          <t xml:space="preserve">
increased slightly to cover due/fee increases</t>
        </r>
      </text>
    </comment>
    <comment ref="G106" authorId="0" shapeId="0">
      <text>
        <r>
          <rPr>
            <b/>
            <sz val="9"/>
            <color indexed="81"/>
            <rFont val="Tahoma"/>
            <family val="2"/>
          </rPr>
          <t>Timothy J. Thompson:</t>
        </r>
        <r>
          <rPr>
            <sz val="9"/>
            <color indexed="81"/>
            <rFont val="Tahoma"/>
            <family val="2"/>
          </rPr>
          <t xml:space="preserve">
Increased due to age, wear/tear on copiers &amp; plotter</t>
        </r>
      </text>
    </comment>
    <comment ref="H106" authorId="0" shapeId="0">
      <text>
        <r>
          <rPr>
            <b/>
            <sz val="9"/>
            <color indexed="81"/>
            <rFont val="Tahoma"/>
            <family val="2"/>
          </rPr>
          <t>Timothy J. Thompson:</t>
        </r>
        <r>
          <rPr>
            <sz val="9"/>
            <color indexed="81"/>
            <rFont val="Tahoma"/>
            <family val="2"/>
          </rPr>
          <t xml:space="preserve">
Increased due to age, wear/tear on copiers &amp; plotter</t>
        </r>
      </text>
    </comment>
    <comment ref="I106" authorId="0" shapeId="0">
      <text>
        <r>
          <rPr>
            <b/>
            <sz val="9"/>
            <color indexed="81"/>
            <rFont val="Tahoma"/>
            <family val="2"/>
          </rPr>
          <t>Timothy J. Thompson:</t>
        </r>
        <r>
          <rPr>
            <sz val="9"/>
            <color indexed="81"/>
            <rFont val="Tahoma"/>
            <family val="2"/>
          </rPr>
          <t xml:space="preserve">
Increased due to age, wear/tear on copiers &amp; plotter</t>
        </r>
      </text>
    </comment>
    <comment ref="J106" authorId="0" shapeId="0">
      <text>
        <r>
          <rPr>
            <b/>
            <sz val="9"/>
            <color indexed="81"/>
            <rFont val="Tahoma"/>
            <family val="2"/>
          </rPr>
          <t>Timothy J. Thompson:</t>
        </r>
        <r>
          <rPr>
            <sz val="9"/>
            <color indexed="81"/>
            <rFont val="Tahoma"/>
            <family val="2"/>
          </rPr>
          <t xml:space="preserve">
Increased due to age, wear/tear on copiers &amp; plotter</t>
        </r>
      </text>
    </comment>
    <comment ref="D107" authorId="0" shapeId="0">
      <text>
        <r>
          <rPr>
            <b/>
            <sz val="9"/>
            <color indexed="81"/>
            <rFont val="Tahoma"/>
            <family val="2"/>
          </rPr>
          <t>Timothy J. Thompson:</t>
        </r>
        <r>
          <rPr>
            <sz val="9"/>
            <color indexed="81"/>
            <rFont val="Tahoma"/>
            <family val="2"/>
          </rPr>
          <t xml:space="preserve">
Increased due to age, wear/tear on copiers &amp; plotter</t>
        </r>
      </text>
    </comment>
    <comment ref="G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H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I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J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D121" authorId="0" shapeId="0">
      <text>
        <r>
          <rPr>
            <b/>
            <sz val="9"/>
            <color indexed="81"/>
            <rFont val="Tahoma"/>
            <family val="2"/>
          </rPr>
          <t>Timothy J. Thompson:</t>
        </r>
        <r>
          <rPr>
            <sz val="9"/>
            <color indexed="81"/>
            <rFont val="Tahoma"/>
            <family val="2"/>
          </rPr>
          <t xml:space="preserve">
Increased due to costs of copies of registry information</t>
        </r>
      </text>
    </comment>
    <comment ref="G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H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I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J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List>
</comments>
</file>

<file path=xl/comments15.xml><?xml version="1.0" encoding="utf-8"?>
<comments xmlns="http://schemas.openxmlformats.org/spreadsheetml/2006/main">
  <authors>
    <author>Thomas Boland</author>
  </authors>
  <commentList>
    <comment ref="C12" authorId="0" shapeId="0">
      <text>
        <r>
          <rPr>
            <b/>
            <sz val="9"/>
            <color indexed="81"/>
            <rFont val="Tahoma"/>
            <family val="2"/>
          </rPr>
          <t>Thomas Boland:</t>
        </r>
        <r>
          <rPr>
            <sz val="9"/>
            <color indexed="81"/>
            <rFont val="Tahoma"/>
            <family val="2"/>
          </rPr>
          <t xml:space="preserve">
Per TM increase TC/TC clerk rates by $1.30 per hour</t>
        </r>
      </text>
    </comment>
    <comment ref="D13" authorId="0" shapeId="0">
      <text>
        <r>
          <rPr>
            <b/>
            <sz val="9"/>
            <color indexed="81"/>
            <rFont val="Tahoma"/>
            <family val="2"/>
          </rPr>
          <t>Thomas Boland:</t>
        </r>
        <r>
          <rPr>
            <sz val="9"/>
            <color indexed="81"/>
            <rFont val="Tahoma"/>
            <family val="2"/>
          </rPr>
          <t xml:space="preserve">
Dept. voluntarily withdrew the funding of this position.</t>
        </r>
      </text>
    </comment>
    <comment ref="C14" authorId="0" shapeId="0">
      <text>
        <r>
          <rPr>
            <b/>
            <sz val="9"/>
            <color indexed="81"/>
            <rFont val="Tahoma"/>
            <family val="2"/>
          </rPr>
          <t>Thomas Boland:</t>
        </r>
        <r>
          <rPr>
            <sz val="9"/>
            <color indexed="81"/>
            <rFont val="Tahoma"/>
            <family val="2"/>
          </rPr>
          <t xml:space="preserve">
Per TM increase TC/TC clerk rates by $1.30 per hour</t>
        </r>
      </text>
    </comment>
    <comment ref="C15" authorId="0" shapeId="0">
      <text>
        <r>
          <rPr>
            <b/>
            <sz val="9"/>
            <color indexed="81"/>
            <rFont val="Tahoma"/>
            <family val="2"/>
          </rPr>
          <t>Thomas Boland:</t>
        </r>
        <r>
          <rPr>
            <sz val="9"/>
            <color indexed="81"/>
            <rFont val="Tahoma"/>
            <family val="2"/>
          </rPr>
          <t xml:space="preserve">
Per TM increase TC/TC clerk rates by $1.30 per hour</t>
        </r>
      </text>
    </comment>
    <comment ref="C16" authorId="0" shapeId="0">
      <text>
        <r>
          <rPr>
            <b/>
            <sz val="9"/>
            <color indexed="81"/>
            <rFont val="Tahoma"/>
            <family val="2"/>
          </rPr>
          <t>Thomas Boland:</t>
        </r>
        <r>
          <rPr>
            <sz val="9"/>
            <color indexed="81"/>
            <rFont val="Tahoma"/>
            <family val="2"/>
          </rPr>
          <t xml:space="preserve">
Per TM increase TC/TC clerk rates by $1.30 per hour</t>
        </r>
      </text>
    </comment>
  </commentList>
</comments>
</file>

<file path=xl/comments16.xml><?xml version="1.0" encoding="utf-8"?>
<comments xmlns="http://schemas.openxmlformats.org/spreadsheetml/2006/main">
  <authors>
    <author>Kyle Fox</author>
    <author>Sarita Croce</author>
  </authors>
  <commentList>
    <comment ref="B46" authorId="0" shapeId="0">
      <text>
        <r>
          <rPr>
            <b/>
            <sz val="9"/>
            <color indexed="81"/>
            <rFont val="Tahoma"/>
            <family val="2"/>
          </rPr>
          <t>Kyle Fox:</t>
        </r>
        <r>
          <rPr>
            <sz val="9"/>
            <color indexed="81"/>
            <rFont val="Tahoma"/>
            <family val="2"/>
          </rPr>
          <t xml:space="preserve">
Increased to add winter break hours</t>
        </r>
      </text>
    </comment>
    <comment ref="C46" authorId="0" shapeId="0">
      <text>
        <r>
          <rPr>
            <b/>
            <sz val="9"/>
            <color indexed="81"/>
            <rFont val="Tahoma"/>
            <family val="2"/>
          </rPr>
          <t>Kyle Fox:</t>
        </r>
        <r>
          <rPr>
            <sz val="9"/>
            <color indexed="81"/>
            <rFont val="Tahoma"/>
            <family val="2"/>
          </rPr>
          <t xml:space="preserve">
Suggested increase
</t>
        </r>
      </text>
    </comment>
    <comment ref="D278" authorId="1" shapeId="0">
      <text>
        <r>
          <rPr>
            <b/>
            <sz val="9"/>
            <color indexed="81"/>
            <rFont val="Tahoma"/>
            <family val="2"/>
          </rPr>
          <t>Sarita Croce:</t>
        </r>
        <r>
          <rPr>
            <sz val="9"/>
            <color indexed="81"/>
            <rFont val="Tahoma"/>
            <family val="2"/>
          </rPr>
          <t xml:space="preserve">
Based on vendor price increase</t>
        </r>
      </text>
    </comment>
    <comment ref="B299" authorId="1" shapeId="0">
      <text>
        <r>
          <rPr>
            <b/>
            <sz val="9"/>
            <color indexed="81"/>
            <rFont val="Tahoma"/>
            <family val="2"/>
          </rPr>
          <t>Sarita Croce:</t>
        </r>
        <r>
          <rPr>
            <sz val="9"/>
            <color indexed="81"/>
            <rFont val="Tahoma"/>
            <family val="2"/>
          </rPr>
          <t xml:space="preserve">
Testing companies have increased prices.
</t>
        </r>
      </text>
    </comment>
    <comment ref="D332" authorId="1" shapeId="0">
      <text>
        <r>
          <rPr>
            <b/>
            <sz val="9"/>
            <color indexed="81"/>
            <rFont val="Tahoma"/>
            <family val="2"/>
          </rPr>
          <t>Sarita Croce:</t>
        </r>
        <r>
          <rPr>
            <sz val="9"/>
            <color indexed="81"/>
            <rFont val="Tahoma"/>
            <family val="2"/>
          </rPr>
          <t xml:space="preserve">
Based on most recent bid
</t>
        </r>
      </text>
    </comment>
  </commentList>
</comments>
</file>

<file path=xl/comments17.xml><?xml version="1.0" encoding="utf-8"?>
<comments xmlns="http://schemas.openxmlformats.org/spreadsheetml/2006/main">
  <authors>
    <author>Thomas Boland</author>
  </authors>
  <commentList>
    <comment ref="C75" authorId="0" shapeId="0">
      <text>
        <r>
          <rPr>
            <b/>
            <sz val="9"/>
            <color indexed="81"/>
            <rFont val="Tahoma"/>
            <family val="2"/>
          </rPr>
          <t>Thomas Boland:</t>
        </r>
        <r>
          <rPr>
            <sz val="9"/>
            <color indexed="81"/>
            <rFont val="Tahoma"/>
            <family val="2"/>
          </rPr>
          <t xml:space="preserve">
Reduced by TM</t>
        </r>
      </text>
    </comment>
  </commentList>
</comments>
</file>

<file path=xl/comments2.xml><?xml version="1.0" encoding="utf-8"?>
<comments xmlns="http://schemas.openxmlformats.org/spreadsheetml/2006/main">
  <authors>
    <author>Tracy Doherty</author>
  </authors>
  <commentList>
    <comment ref="D58" authorId="0" shapeId="0">
      <text>
        <r>
          <rPr>
            <b/>
            <sz val="9"/>
            <color indexed="81"/>
            <rFont val="Tahoma"/>
            <family val="2"/>
          </rPr>
          <t>Tracy Doherty:</t>
        </r>
        <r>
          <rPr>
            <sz val="9"/>
            <color indexed="81"/>
            <rFont val="Tahoma"/>
            <family val="2"/>
          </rPr>
          <t xml:space="preserve">
</t>
        </r>
      </text>
    </comment>
    <comment ref="D94" authorId="0" shapeId="0">
      <text>
        <r>
          <rPr>
            <b/>
            <sz val="9"/>
            <color indexed="81"/>
            <rFont val="Tahoma"/>
            <family val="2"/>
          </rPr>
          <t>Tracy Doherty:</t>
        </r>
        <r>
          <rPr>
            <sz val="9"/>
            <color indexed="81"/>
            <rFont val="Tahoma"/>
            <family val="2"/>
          </rPr>
          <t xml:space="preserve">
vendor increase for annual services/support</t>
        </r>
      </text>
    </comment>
    <comment ref="D107" authorId="0" shapeId="0">
      <text>
        <r>
          <rPr>
            <b/>
            <sz val="9"/>
            <color indexed="81"/>
            <rFont val="Tahoma"/>
            <family val="2"/>
          </rPr>
          <t xml:space="preserve">Tracy Doherty: 
</t>
        </r>
        <r>
          <rPr>
            <sz val="9"/>
            <color indexed="81"/>
            <rFont val="Tahoma"/>
            <family val="2"/>
          </rPr>
          <t>current contract $40,000</t>
        </r>
        <r>
          <rPr>
            <sz val="9"/>
            <color indexed="81"/>
            <rFont val="Tahoma"/>
            <family val="2"/>
          </rPr>
          <t xml:space="preserve">
vendor increase to $41,400 for annual services </t>
        </r>
      </text>
    </comment>
  </commentList>
</comments>
</file>

<file path=xl/comments3.xml><?xml version="1.0" encoding="utf-8"?>
<comments xmlns="http://schemas.openxmlformats.org/spreadsheetml/2006/main">
  <authors>
    <author>Thomas Boland</author>
  </authors>
  <commentList>
    <comment ref="C96" authorId="0" shapeId="0">
      <text>
        <r>
          <rPr>
            <b/>
            <sz val="9"/>
            <color indexed="81"/>
            <rFont val="Tahoma"/>
            <family val="2"/>
          </rPr>
          <t>Thomas Boland:</t>
        </r>
        <r>
          <rPr>
            <sz val="9"/>
            <color indexed="81"/>
            <rFont val="Tahoma"/>
            <family val="2"/>
          </rPr>
          <t xml:space="preserve">
Avg OT Rate Subject to change based on new contract</t>
        </r>
      </text>
    </comment>
    <comment ref="D173" authorId="0" shapeId="0">
      <text>
        <r>
          <rPr>
            <b/>
            <sz val="9"/>
            <color indexed="81"/>
            <rFont val="Tahoma"/>
            <family val="2"/>
          </rPr>
          <t>Thomas Boland:</t>
        </r>
        <r>
          <rPr>
            <sz val="9"/>
            <color indexed="81"/>
            <rFont val="Tahoma"/>
            <family val="2"/>
          </rPr>
          <t xml:space="preserve">
Cost adjusted for price increase</t>
        </r>
      </text>
    </comment>
    <comment ref="D181" authorId="0" shapeId="0">
      <text>
        <r>
          <rPr>
            <b/>
            <sz val="9"/>
            <color indexed="81"/>
            <rFont val="Tahoma"/>
            <family val="2"/>
          </rPr>
          <t>Thomas Boland:</t>
        </r>
        <r>
          <rPr>
            <sz val="9"/>
            <color indexed="81"/>
            <rFont val="Tahoma"/>
            <family val="2"/>
          </rPr>
          <t xml:space="preserve">
Cost adjusted for price increase</t>
        </r>
      </text>
    </comment>
    <comment ref="D199" authorId="0" shapeId="0">
      <text>
        <r>
          <rPr>
            <b/>
            <sz val="9"/>
            <color indexed="81"/>
            <rFont val="Tahoma"/>
            <family val="2"/>
          </rPr>
          <t>Thomas Boland:</t>
        </r>
        <r>
          <rPr>
            <sz val="9"/>
            <color indexed="81"/>
            <rFont val="Tahoma"/>
            <family val="2"/>
          </rPr>
          <t xml:space="preserve">
Cost adjusted for price increase</t>
        </r>
      </text>
    </comment>
    <comment ref="D268" authorId="0" shapeId="0">
      <text>
        <r>
          <rPr>
            <b/>
            <sz val="9"/>
            <color indexed="81"/>
            <rFont val="Tahoma"/>
            <family val="2"/>
          </rPr>
          <t>Thomas Boland:</t>
        </r>
        <r>
          <rPr>
            <sz val="9"/>
            <color indexed="81"/>
            <rFont val="Tahoma"/>
            <family val="2"/>
          </rPr>
          <t xml:space="preserve">
Cost adjusted for price increase</t>
        </r>
      </text>
    </comment>
    <comment ref="D271" authorId="0" shapeId="0">
      <text>
        <r>
          <rPr>
            <b/>
            <sz val="9"/>
            <color indexed="81"/>
            <rFont val="Tahoma"/>
            <family val="2"/>
          </rPr>
          <t>Thomas Boland:</t>
        </r>
        <r>
          <rPr>
            <sz val="9"/>
            <color indexed="81"/>
            <rFont val="Tahoma"/>
            <family val="2"/>
          </rPr>
          <t xml:space="preserve">
Cost adjusted for price increase</t>
        </r>
      </text>
    </comment>
    <comment ref="D294" authorId="0" shapeId="0">
      <text>
        <r>
          <rPr>
            <b/>
            <sz val="9"/>
            <color indexed="81"/>
            <rFont val="Tahoma"/>
            <family val="2"/>
          </rPr>
          <t>Thomas Boland:</t>
        </r>
        <r>
          <rPr>
            <sz val="9"/>
            <color indexed="81"/>
            <rFont val="Tahoma"/>
            <family val="2"/>
          </rPr>
          <t xml:space="preserve">
Cost adjusted for price increase</t>
        </r>
      </text>
    </comment>
  </commentList>
</comments>
</file>

<file path=xl/comments4.xml><?xml version="1.0" encoding="utf-8"?>
<comments xmlns="http://schemas.openxmlformats.org/spreadsheetml/2006/main">
  <authors>
    <author>Brian Levesque</author>
  </authors>
  <commentList>
    <comment ref="D86" authorId="0" shapeId="0">
      <text>
        <r>
          <rPr>
            <b/>
            <sz val="9"/>
            <color indexed="81"/>
            <rFont val="Tahoma"/>
            <family val="2"/>
          </rPr>
          <t>Brian Levesque:</t>
        </r>
        <r>
          <rPr>
            <sz val="9"/>
            <color indexed="81"/>
            <rFont val="Tahoma"/>
            <family val="2"/>
          </rPr>
          <t xml:space="preserve">
increase 160 hours for training</t>
        </r>
      </text>
    </comment>
    <comment ref="D170" authorId="0" shapeId="0">
      <text>
        <r>
          <rPr>
            <b/>
            <sz val="9"/>
            <color indexed="81"/>
            <rFont val="Tahoma"/>
            <family val="2"/>
          </rPr>
          <t>Brian Levesque:</t>
        </r>
        <r>
          <rPr>
            <sz val="9"/>
            <color indexed="81"/>
            <rFont val="Tahoma"/>
            <family val="2"/>
          </rPr>
          <t xml:space="preserve">
purrchasing ammo this year. Still need taser, oc, batteries for optics etc.</t>
        </r>
      </text>
    </comment>
    <comment ref="D181" authorId="0" shapeId="0">
      <text>
        <r>
          <rPr>
            <b/>
            <sz val="9"/>
            <color indexed="81"/>
            <rFont val="Tahoma"/>
            <family val="2"/>
          </rPr>
          <t>Brian Levesque:</t>
        </r>
        <r>
          <rPr>
            <sz val="9"/>
            <color indexed="81"/>
            <rFont val="Tahoma"/>
            <family val="2"/>
          </rPr>
          <t xml:space="preserve">
increase $100 per vest. Cycle to replace 23 plus 5 new hires</t>
        </r>
      </text>
    </comment>
    <comment ref="D219" authorId="0" shapeId="0">
      <text>
        <r>
          <rPr>
            <b/>
            <sz val="9"/>
            <color indexed="81"/>
            <rFont val="Tahoma"/>
            <family val="2"/>
          </rPr>
          <t>Brian Levesque:</t>
        </r>
        <r>
          <rPr>
            <sz val="9"/>
            <color indexed="81"/>
            <rFont val="Tahoma"/>
            <family val="2"/>
          </rPr>
          <t xml:space="preserve">
never budgted for. The platform is linked to Clerk
data base.</t>
        </r>
      </text>
    </comment>
    <comment ref="D221" authorId="0" shapeId="0">
      <text>
        <r>
          <rPr>
            <b/>
            <sz val="9"/>
            <color indexed="81"/>
            <rFont val="Tahoma"/>
            <family val="2"/>
          </rPr>
          <t>Brian Levesque:</t>
        </r>
        <r>
          <rPr>
            <sz val="9"/>
            <color indexed="81"/>
            <rFont val="Tahoma"/>
            <family val="2"/>
          </rPr>
          <t xml:space="preserve">
yearly fee to belong</t>
        </r>
      </text>
    </comment>
    <comment ref="A240" authorId="0" shapeId="0">
      <text>
        <r>
          <rPr>
            <b/>
            <sz val="9"/>
            <color indexed="81"/>
            <rFont val="Tahoma"/>
            <family val="2"/>
          </rPr>
          <t>Brian Levesque:</t>
        </r>
        <r>
          <rPr>
            <sz val="9"/>
            <color indexed="81"/>
            <rFont val="Tahoma"/>
            <family val="2"/>
          </rPr>
          <t xml:space="preserve">
removed</t>
        </r>
      </text>
    </comment>
    <comment ref="D247" authorId="0" shapeId="0">
      <text>
        <r>
          <rPr>
            <b/>
            <sz val="9"/>
            <color indexed="81"/>
            <rFont val="Tahoma"/>
            <family val="2"/>
          </rPr>
          <t>Brian Levesque:</t>
        </r>
        <r>
          <rPr>
            <sz val="9"/>
            <color indexed="81"/>
            <rFont val="Tahoma"/>
            <family val="2"/>
          </rPr>
          <t xml:space="preserve">
contract increase</t>
        </r>
      </text>
    </comment>
    <comment ref="D255" authorId="0" shapeId="0">
      <text>
        <r>
          <rPr>
            <b/>
            <sz val="9"/>
            <color indexed="81"/>
            <rFont val="Tahoma"/>
            <family val="2"/>
          </rPr>
          <t>Brian Levesque:</t>
        </r>
        <r>
          <rPr>
            <sz val="9"/>
            <color indexed="81"/>
            <rFont val="Tahoma"/>
            <family val="2"/>
          </rPr>
          <t xml:space="preserve">
Increased required training hours</t>
        </r>
      </text>
    </comment>
    <comment ref="D267" authorId="0" shapeId="0">
      <text>
        <r>
          <rPr>
            <b/>
            <sz val="9"/>
            <color indexed="81"/>
            <rFont val="Tahoma"/>
            <family val="2"/>
          </rPr>
          <t>Brian Levesque:</t>
        </r>
        <r>
          <rPr>
            <sz val="9"/>
            <color indexed="81"/>
            <rFont val="Tahoma"/>
            <family val="2"/>
          </rPr>
          <t xml:space="preserve">
increase $400 some schools are $400</t>
        </r>
      </text>
    </comment>
    <comment ref="D282" authorId="0" shapeId="0">
      <text>
        <r>
          <rPr>
            <b/>
            <sz val="9"/>
            <color indexed="81"/>
            <rFont val="Tahoma"/>
            <family val="2"/>
          </rPr>
          <t>Brian Levesque:</t>
        </r>
        <r>
          <rPr>
            <sz val="9"/>
            <color indexed="81"/>
            <rFont val="Tahoma"/>
            <family val="2"/>
          </rPr>
          <t xml:space="preserve">
We have been getting billed for blood draws relating to DWI's</t>
        </r>
      </text>
    </comment>
    <comment ref="A284" authorId="0" shapeId="0">
      <text>
        <r>
          <rPr>
            <b/>
            <sz val="9"/>
            <color indexed="81"/>
            <rFont val="Tahoma"/>
            <family val="2"/>
          </rPr>
          <t>Brian Levesque:</t>
        </r>
        <r>
          <rPr>
            <sz val="9"/>
            <color indexed="81"/>
            <rFont val="Tahoma"/>
            <family val="2"/>
          </rPr>
          <t xml:space="preserve">
removed</t>
        </r>
      </text>
    </comment>
    <comment ref="D289" authorId="0" shapeId="0">
      <text>
        <r>
          <rPr>
            <b/>
            <sz val="9"/>
            <color indexed="81"/>
            <rFont val="Tahoma"/>
            <family val="2"/>
          </rPr>
          <t>Brian Levesque:</t>
        </r>
        <r>
          <rPr>
            <sz val="9"/>
            <color indexed="81"/>
            <rFont val="Tahoma"/>
            <family val="2"/>
          </rPr>
          <t xml:space="preserve">
Vehicles went up to $43k
Upfit around $7k.
Cycle to buy 4 cruisers. Only budgeting for 3</t>
        </r>
      </text>
    </comment>
    <comment ref="A300" authorId="0" shapeId="0">
      <text>
        <r>
          <rPr>
            <b/>
            <sz val="9"/>
            <color indexed="81"/>
            <rFont val="Tahoma"/>
            <family val="2"/>
          </rPr>
          <t>Brian Levesque:</t>
        </r>
        <r>
          <rPr>
            <sz val="9"/>
            <color indexed="81"/>
            <rFont val="Tahoma"/>
            <family val="2"/>
          </rPr>
          <t xml:space="preserve">
remove</t>
        </r>
      </text>
    </comment>
  </commentList>
</comments>
</file>

<file path=xl/comments5.xml><?xml version="1.0" encoding="utf-8"?>
<comments xmlns="http://schemas.openxmlformats.org/spreadsheetml/2006/main">
  <authors>
    <author>Brian Levesque</author>
  </authors>
  <commentList>
    <comment ref="D104" authorId="0" shapeId="0">
      <text>
        <r>
          <rPr>
            <b/>
            <sz val="9"/>
            <color indexed="81"/>
            <rFont val="Tahoma"/>
            <family val="2"/>
          </rPr>
          <t>Brian Levesque:</t>
        </r>
        <r>
          <rPr>
            <sz val="9"/>
            <color indexed="81"/>
            <rFont val="Tahoma"/>
            <family val="2"/>
          </rPr>
          <t xml:space="preserve">
Added one mdt for K9 also new system needs one at the head end</t>
        </r>
      </text>
    </comment>
    <comment ref="D125" authorId="0" shapeId="0">
      <text>
        <r>
          <rPr>
            <b/>
            <sz val="9"/>
            <color indexed="81"/>
            <rFont val="Tahoma"/>
            <family val="2"/>
          </rPr>
          <t>Brian Levesque:</t>
        </r>
        <r>
          <rPr>
            <sz val="9"/>
            <color indexed="81"/>
            <rFont val="Tahoma"/>
            <family val="2"/>
          </rPr>
          <t xml:space="preserve">
increased usage</t>
        </r>
      </text>
    </comment>
    <comment ref="D126" authorId="0" shapeId="0">
      <text>
        <r>
          <rPr>
            <b/>
            <sz val="9"/>
            <color indexed="81"/>
            <rFont val="Tahoma"/>
            <family val="2"/>
          </rPr>
          <t xml:space="preserve">Brian Levesque:
</t>
        </r>
        <r>
          <rPr>
            <sz val="9"/>
            <color indexed="81"/>
            <rFont val="Tahoma"/>
            <family val="2"/>
          </rPr>
          <t>Our first year free will be expiring in June. This will be the annual cost</t>
        </r>
      </text>
    </comment>
    <comment ref="D127" authorId="0" shapeId="0">
      <text>
        <r>
          <rPr>
            <b/>
            <sz val="9"/>
            <color indexed="81"/>
            <rFont val="Tahoma"/>
            <family val="2"/>
          </rPr>
          <t>Brian Levesque:</t>
        </r>
        <r>
          <rPr>
            <sz val="9"/>
            <color indexed="81"/>
            <rFont val="Tahoma"/>
            <family val="2"/>
          </rPr>
          <t xml:space="preserve">
Interface for ems reporting</t>
        </r>
      </text>
    </comment>
    <comment ref="D135" authorId="0" shapeId="0">
      <text>
        <r>
          <rPr>
            <b/>
            <sz val="9"/>
            <color indexed="81"/>
            <rFont val="Tahoma"/>
            <family val="2"/>
          </rPr>
          <t>Brian Levesque:</t>
        </r>
        <r>
          <rPr>
            <sz val="9"/>
            <color indexed="81"/>
            <rFont val="Tahoma"/>
            <family val="2"/>
          </rPr>
          <t xml:space="preserve">
est. 15% increase</t>
        </r>
      </text>
    </comment>
    <comment ref="D136" authorId="0" shapeId="0">
      <text>
        <r>
          <rPr>
            <b/>
            <sz val="9"/>
            <color indexed="81"/>
            <rFont val="Tahoma"/>
            <family val="2"/>
          </rPr>
          <t>Brian Levesque:</t>
        </r>
        <r>
          <rPr>
            <sz val="9"/>
            <color indexed="81"/>
            <rFont val="Tahoma"/>
            <family val="2"/>
          </rPr>
          <t xml:space="preserve">
est. 15% increase</t>
        </r>
      </text>
    </comment>
  </commentList>
</comments>
</file>

<file path=xl/comments6.xml><?xml version="1.0" encoding="utf-8"?>
<comments xmlns="http://schemas.openxmlformats.org/spreadsheetml/2006/main">
  <authors>
    <author>Thomas Boland</author>
  </authors>
  <commentList>
    <comment ref="A148" authorId="0" shapeId="0">
      <text>
        <r>
          <rPr>
            <b/>
            <sz val="9"/>
            <color indexed="81"/>
            <rFont val="Tahoma"/>
            <family val="2"/>
          </rPr>
          <t>Thomas Boland:</t>
        </r>
        <r>
          <rPr>
            <sz val="9"/>
            <color indexed="81"/>
            <rFont val="Tahoma"/>
            <family val="2"/>
          </rPr>
          <t xml:space="preserve">
Addition of online permitting system ($55k)</t>
        </r>
      </text>
    </comment>
  </commentList>
</comments>
</file>

<file path=xl/comments7.xml><?xml version="1.0" encoding="utf-8"?>
<comments xmlns="http://schemas.openxmlformats.org/spreadsheetml/2006/main">
  <authors>
    <author>Kyle Fox</author>
  </authors>
  <commentList>
    <comment ref="B23" authorId="0" shapeId="0">
      <text>
        <r>
          <rPr>
            <b/>
            <sz val="9"/>
            <color indexed="81"/>
            <rFont val="Tahoma"/>
            <family val="2"/>
          </rPr>
          <t>Kyle Fox:</t>
        </r>
        <r>
          <rPr>
            <sz val="9"/>
            <color indexed="81"/>
            <rFont val="Tahoma"/>
            <family val="2"/>
          </rPr>
          <t xml:space="preserve">
Increased to add winter break hours</t>
        </r>
      </text>
    </comment>
    <comment ref="C23" authorId="0" shapeId="0">
      <text>
        <r>
          <rPr>
            <b/>
            <sz val="9"/>
            <color indexed="81"/>
            <rFont val="Tahoma"/>
            <family val="2"/>
          </rPr>
          <t>Kyle Fox:</t>
        </r>
        <r>
          <rPr>
            <sz val="9"/>
            <color indexed="81"/>
            <rFont val="Tahoma"/>
            <family val="2"/>
          </rPr>
          <t xml:space="preserve">
Suggested increase</t>
        </r>
      </text>
    </comment>
    <comment ref="G126" authorId="0" shapeId="0">
      <text>
        <r>
          <rPr>
            <b/>
            <sz val="9"/>
            <color indexed="81"/>
            <rFont val="Tahoma"/>
            <family val="2"/>
          </rPr>
          <t>Kyle Fox:</t>
        </r>
        <r>
          <rPr>
            <sz val="9"/>
            <color indexed="81"/>
            <rFont val="Tahoma"/>
            <family val="2"/>
          </rPr>
          <t xml:space="preserve">
Reflects actual costs over past two years</t>
        </r>
      </text>
    </comment>
    <comment ref="H126" authorId="0" shapeId="0">
      <text>
        <r>
          <rPr>
            <b/>
            <sz val="9"/>
            <color indexed="81"/>
            <rFont val="Tahoma"/>
            <family val="2"/>
          </rPr>
          <t>Kyle Fox:</t>
        </r>
        <r>
          <rPr>
            <sz val="9"/>
            <color indexed="81"/>
            <rFont val="Tahoma"/>
            <family val="2"/>
          </rPr>
          <t xml:space="preserve">
Reflects actual costs over past two years</t>
        </r>
      </text>
    </comment>
    <comment ref="I126" authorId="0" shapeId="0">
      <text>
        <r>
          <rPr>
            <b/>
            <sz val="9"/>
            <color indexed="81"/>
            <rFont val="Tahoma"/>
            <family val="2"/>
          </rPr>
          <t>Kyle Fox:</t>
        </r>
        <r>
          <rPr>
            <sz val="9"/>
            <color indexed="81"/>
            <rFont val="Tahoma"/>
            <family val="2"/>
          </rPr>
          <t xml:space="preserve">
Reflects actual costs over past two years</t>
        </r>
      </text>
    </comment>
    <comment ref="J126" authorId="0" shapeId="0">
      <text>
        <r>
          <rPr>
            <b/>
            <sz val="9"/>
            <color indexed="81"/>
            <rFont val="Tahoma"/>
            <family val="2"/>
          </rPr>
          <t>Kyle Fox:</t>
        </r>
        <r>
          <rPr>
            <sz val="9"/>
            <color indexed="81"/>
            <rFont val="Tahoma"/>
            <family val="2"/>
          </rPr>
          <t xml:space="preserve">
Reflects actual costs over past two years</t>
        </r>
      </text>
    </comment>
  </commentList>
</comments>
</file>

<file path=xl/comments8.xml><?xml version="1.0" encoding="utf-8"?>
<comments xmlns="http://schemas.openxmlformats.org/spreadsheetml/2006/main">
  <authors>
    <author>Kyle Fox</author>
    <author>Lori Barrett</author>
  </authors>
  <commentList>
    <comment ref="D196" authorId="0" shapeId="0">
      <text>
        <r>
          <rPr>
            <b/>
            <sz val="9"/>
            <color indexed="81"/>
            <rFont val="Tahoma"/>
            <family val="2"/>
          </rPr>
          <t>Kyle Fox:</t>
        </r>
        <r>
          <rPr>
            <sz val="9"/>
            <color indexed="81"/>
            <rFont val="Tahoma"/>
            <family val="2"/>
          </rPr>
          <t xml:space="preserve">
Based on actual costs from last two years and expected costs coming up this year</t>
        </r>
      </text>
    </comment>
    <comment ref="D233" authorId="1" shapeId="0">
      <text>
        <r>
          <rPr>
            <b/>
            <sz val="9"/>
            <color indexed="81"/>
            <rFont val="Tahoma"/>
            <family val="2"/>
          </rPr>
          <t>Lori Barrett:</t>
        </r>
        <r>
          <rPr>
            <sz val="9"/>
            <color indexed="81"/>
            <rFont val="Tahoma"/>
            <family val="2"/>
          </rPr>
          <t xml:space="preserve">
Lowered salt quantity due to operational changes including prewet and brine</t>
        </r>
      </text>
    </comment>
    <comment ref="D234" authorId="1" shapeId="0">
      <text>
        <r>
          <rPr>
            <b/>
            <sz val="9"/>
            <color indexed="81"/>
            <rFont val="Tahoma"/>
            <family val="2"/>
          </rPr>
          <t>Lori Barrett:</t>
        </r>
        <r>
          <rPr>
            <sz val="9"/>
            <color indexed="81"/>
            <rFont val="Tahoma"/>
            <family val="2"/>
          </rPr>
          <t xml:space="preserve">
New line item for brine production</t>
        </r>
      </text>
    </comment>
    <comment ref="D235" authorId="1" shapeId="0">
      <text>
        <r>
          <rPr>
            <b/>
            <sz val="9"/>
            <color indexed="81"/>
            <rFont val="Tahoma"/>
            <family val="2"/>
          </rPr>
          <t>Lori Barrett:</t>
        </r>
        <r>
          <rPr>
            <sz val="9"/>
            <color indexed="81"/>
            <rFont val="Tahoma"/>
            <family val="2"/>
          </rPr>
          <t xml:space="preserve">
Lowered sand qty due to using stone on gravel roads and not using it as much in mix</t>
        </r>
      </text>
    </comment>
    <comment ref="D236" authorId="1" shapeId="0">
      <text>
        <r>
          <rPr>
            <b/>
            <sz val="9"/>
            <color indexed="81"/>
            <rFont val="Tahoma"/>
            <family val="2"/>
          </rPr>
          <t>Lori Barrett:</t>
        </r>
        <r>
          <rPr>
            <sz val="9"/>
            <color indexed="81"/>
            <rFont val="Tahoma"/>
            <family val="2"/>
          </rPr>
          <t xml:space="preserve">
New line item, use on gravel roads</t>
        </r>
      </text>
    </comment>
    <comment ref="D237" authorId="1" shapeId="0">
      <text>
        <r>
          <rPr>
            <b/>
            <sz val="9"/>
            <color indexed="81"/>
            <rFont val="Tahoma"/>
            <family val="2"/>
          </rPr>
          <t>Lori Barrett:</t>
        </r>
        <r>
          <rPr>
            <sz val="9"/>
            <color indexed="81"/>
            <rFont val="Tahoma"/>
            <family val="2"/>
          </rPr>
          <t xml:space="preserve">
Increase to agreement $$ Innovative Solutions</t>
        </r>
      </text>
    </comment>
    <comment ref="D241" authorId="0" shapeId="0">
      <text>
        <r>
          <rPr>
            <b/>
            <sz val="9"/>
            <color indexed="81"/>
            <rFont val="Tahoma"/>
            <family val="2"/>
          </rPr>
          <t>Kyle Fox:</t>
        </r>
        <r>
          <rPr>
            <sz val="9"/>
            <color indexed="81"/>
            <rFont val="Tahoma"/>
            <family val="2"/>
          </rPr>
          <t xml:space="preserve">
Increased cost of product</t>
        </r>
      </text>
    </comment>
    <comment ref="D265" authorId="0" shapeId="0">
      <text>
        <r>
          <rPr>
            <b/>
            <sz val="9"/>
            <color indexed="81"/>
            <rFont val="Tahoma"/>
            <family val="2"/>
          </rPr>
          <t>Kyle Fox:</t>
        </r>
        <r>
          <rPr>
            <sz val="9"/>
            <color indexed="81"/>
            <rFont val="Tahoma"/>
            <family val="2"/>
          </rPr>
          <t xml:space="preserve">
Increased material cost</t>
        </r>
      </text>
    </comment>
    <comment ref="D270" authorId="1" shapeId="0">
      <text>
        <r>
          <rPr>
            <b/>
            <sz val="9"/>
            <color indexed="81"/>
            <rFont val="Tahoma"/>
            <family val="2"/>
          </rPr>
          <t>Lori Barrett:</t>
        </r>
        <r>
          <rPr>
            <sz val="9"/>
            <color indexed="81"/>
            <rFont val="Tahoma"/>
            <family val="2"/>
          </rPr>
          <t xml:space="preserve">
Prices are expected to go up from .069/lf to .10/lf this year</t>
        </r>
      </text>
    </comment>
    <comment ref="D272" authorId="1" shapeId="0">
      <text>
        <r>
          <rPr>
            <b/>
            <sz val="9"/>
            <color indexed="81"/>
            <rFont val="Tahoma"/>
            <family val="2"/>
          </rPr>
          <t>Lori Barrett:</t>
        </r>
        <r>
          <rPr>
            <sz val="9"/>
            <color indexed="81"/>
            <rFont val="Tahoma"/>
            <family val="2"/>
          </rPr>
          <t xml:space="preserve">
Increased sweeping for Town for MS4 permit requirements</t>
        </r>
      </text>
    </comment>
    <comment ref="D273" authorId="0" shapeId="0">
      <text>
        <r>
          <rPr>
            <b/>
            <sz val="9"/>
            <color indexed="81"/>
            <rFont val="Tahoma"/>
            <family val="2"/>
          </rPr>
          <t>Kyle Fox:</t>
        </r>
        <r>
          <rPr>
            <sz val="9"/>
            <color indexed="81"/>
            <rFont val="Tahoma"/>
            <family val="2"/>
          </rPr>
          <t xml:space="preserve">
Asphalt pile is getting large - could defer if necessary</t>
        </r>
      </text>
    </comment>
    <comment ref="D300" authorId="0" shapeId="0">
      <text>
        <r>
          <rPr>
            <b/>
            <sz val="9"/>
            <color indexed="81"/>
            <rFont val="Tahoma"/>
            <family val="2"/>
          </rPr>
          <t>Kyle Fox:</t>
        </r>
        <r>
          <rPr>
            <sz val="9"/>
            <color indexed="81"/>
            <rFont val="Tahoma"/>
            <family val="2"/>
          </rPr>
          <t xml:space="preserve">
Inflation expense - assume 10% increase</t>
        </r>
      </text>
    </comment>
    <comment ref="D337" authorId="0" shapeId="0">
      <text>
        <r>
          <rPr>
            <b/>
            <sz val="9"/>
            <color indexed="81"/>
            <rFont val="Tahoma"/>
            <family val="2"/>
          </rPr>
          <t>Kyle Fox:</t>
        </r>
        <r>
          <rPr>
            <sz val="9"/>
            <color indexed="81"/>
            <rFont val="Tahoma"/>
            <family val="2"/>
          </rPr>
          <t xml:space="preserve">
Per Final CIP 2023/24 less $125k adjustment</t>
        </r>
      </text>
    </comment>
  </commentList>
</comments>
</file>

<file path=xl/comments9.xml><?xml version="1.0" encoding="utf-8"?>
<comments xmlns="http://schemas.openxmlformats.org/spreadsheetml/2006/main">
  <authors>
    <author>Kyle Fox</author>
  </authors>
  <commentList>
    <comment ref="G84" authorId="0" shapeId="0">
      <text>
        <r>
          <rPr>
            <b/>
            <sz val="9"/>
            <color indexed="81"/>
            <rFont val="Tahoma"/>
            <family val="2"/>
          </rPr>
          <t>Kyle Fox:</t>
        </r>
        <r>
          <rPr>
            <sz val="9"/>
            <color indexed="81"/>
            <rFont val="Tahoma"/>
            <family val="2"/>
          </rPr>
          <t xml:space="preserve">
Increased product costs - based on last two years' actual
</t>
        </r>
      </text>
    </comment>
    <comment ref="H84" authorId="0" shapeId="0">
      <text>
        <r>
          <rPr>
            <b/>
            <sz val="9"/>
            <color indexed="81"/>
            <rFont val="Tahoma"/>
            <family val="2"/>
          </rPr>
          <t>Kyle Fox:</t>
        </r>
        <r>
          <rPr>
            <sz val="9"/>
            <color indexed="81"/>
            <rFont val="Tahoma"/>
            <family val="2"/>
          </rPr>
          <t xml:space="preserve">
Increased product costs - based on last two years' actual
</t>
        </r>
      </text>
    </comment>
    <comment ref="I84" authorId="0" shapeId="0">
      <text>
        <r>
          <rPr>
            <b/>
            <sz val="9"/>
            <color indexed="81"/>
            <rFont val="Tahoma"/>
            <family val="2"/>
          </rPr>
          <t>Kyle Fox:</t>
        </r>
        <r>
          <rPr>
            <sz val="9"/>
            <color indexed="81"/>
            <rFont val="Tahoma"/>
            <family val="2"/>
          </rPr>
          <t xml:space="preserve">
Increased product costs - based on last two years' actual
</t>
        </r>
      </text>
    </comment>
    <comment ref="J84" authorId="0" shapeId="0">
      <text>
        <r>
          <rPr>
            <b/>
            <sz val="9"/>
            <color indexed="81"/>
            <rFont val="Tahoma"/>
            <family val="2"/>
          </rPr>
          <t>Kyle Fox:</t>
        </r>
        <r>
          <rPr>
            <sz val="9"/>
            <color indexed="81"/>
            <rFont val="Tahoma"/>
            <family val="2"/>
          </rPr>
          <t xml:space="preserve">
Increased product costs - based on last two years' actual
</t>
        </r>
      </text>
    </comment>
    <comment ref="G88" authorId="0" shapeId="0">
      <text>
        <r>
          <rPr>
            <b/>
            <sz val="9"/>
            <color indexed="81"/>
            <rFont val="Tahoma"/>
            <family val="2"/>
          </rPr>
          <t>Kyle Fox:</t>
        </r>
        <r>
          <rPr>
            <sz val="9"/>
            <color indexed="81"/>
            <rFont val="Tahoma"/>
            <family val="2"/>
          </rPr>
          <t xml:space="preserve">
Increased product costs - based on last two years' actual</t>
        </r>
      </text>
    </comment>
    <comment ref="H88" authorId="0" shapeId="0">
      <text>
        <r>
          <rPr>
            <b/>
            <sz val="9"/>
            <color indexed="81"/>
            <rFont val="Tahoma"/>
            <family val="2"/>
          </rPr>
          <t>Kyle Fox:</t>
        </r>
        <r>
          <rPr>
            <sz val="9"/>
            <color indexed="81"/>
            <rFont val="Tahoma"/>
            <family val="2"/>
          </rPr>
          <t xml:space="preserve">
Increased product costs - based on last two years' actual</t>
        </r>
      </text>
    </comment>
    <comment ref="I88" authorId="0" shapeId="0">
      <text>
        <r>
          <rPr>
            <b/>
            <sz val="9"/>
            <color indexed="81"/>
            <rFont val="Tahoma"/>
            <family val="2"/>
          </rPr>
          <t>Kyle Fox:</t>
        </r>
        <r>
          <rPr>
            <sz val="9"/>
            <color indexed="81"/>
            <rFont val="Tahoma"/>
            <family val="2"/>
          </rPr>
          <t xml:space="preserve">
Increased product costs - based on last two years' actual</t>
        </r>
      </text>
    </comment>
    <comment ref="J88" authorId="0" shapeId="0">
      <text>
        <r>
          <rPr>
            <b/>
            <sz val="9"/>
            <color indexed="81"/>
            <rFont val="Tahoma"/>
            <family val="2"/>
          </rPr>
          <t>Kyle Fox:</t>
        </r>
        <r>
          <rPr>
            <sz val="9"/>
            <color indexed="81"/>
            <rFont val="Tahoma"/>
            <family val="2"/>
          </rPr>
          <t xml:space="preserve">
Increased product costs - based on last two years' actual</t>
        </r>
      </text>
    </comment>
    <comment ref="G91" authorId="0" shapeId="0">
      <text>
        <r>
          <rPr>
            <b/>
            <sz val="9"/>
            <color indexed="81"/>
            <rFont val="Tahoma"/>
            <family val="2"/>
          </rPr>
          <t>Kyle Fox:</t>
        </r>
        <r>
          <rPr>
            <sz val="9"/>
            <color indexed="81"/>
            <rFont val="Tahoma"/>
            <family val="2"/>
          </rPr>
          <t xml:space="preserve">
Based on last two years' actuals</t>
        </r>
      </text>
    </comment>
    <comment ref="H91" authorId="0" shapeId="0">
      <text>
        <r>
          <rPr>
            <b/>
            <sz val="9"/>
            <color indexed="81"/>
            <rFont val="Tahoma"/>
            <family val="2"/>
          </rPr>
          <t>Kyle Fox:</t>
        </r>
        <r>
          <rPr>
            <sz val="9"/>
            <color indexed="81"/>
            <rFont val="Tahoma"/>
            <family val="2"/>
          </rPr>
          <t xml:space="preserve">
Based on last two years' actuals</t>
        </r>
      </text>
    </comment>
    <comment ref="I91" authorId="0" shapeId="0">
      <text>
        <r>
          <rPr>
            <b/>
            <sz val="9"/>
            <color indexed="81"/>
            <rFont val="Tahoma"/>
            <family val="2"/>
          </rPr>
          <t>Kyle Fox:</t>
        </r>
        <r>
          <rPr>
            <sz val="9"/>
            <color indexed="81"/>
            <rFont val="Tahoma"/>
            <family val="2"/>
          </rPr>
          <t xml:space="preserve">
Based on last two years' actuals</t>
        </r>
      </text>
    </comment>
    <comment ref="J91" authorId="0" shapeId="0">
      <text>
        <r>
          <rPr>
            <b/>
            <sz val="9"/>
            <color indexed="81"/>
            <rFont val="Tahoma"/>
            <family val="2"/>
          </rPr>
          <t>Kyle Fox:</t>
        </r>
        <r>
          <rPr>
            <sz val="9"/>
            <color indexed="81"/>
            <rFont val="Tahoma"/>
            <family val="2"/>
          </rPr>
          <t xml:space="preserve">
Based on last two years' actuals</t>
        </r>
      </text>
    </comment>
    <comment ref="D134" authorId="0" shapeId="0">
      <text>
        <r>
          <rPr>
            <b/>
            <sz val="9"/>
            <color indexed="81"/>
            <rFont val="Tahoma"/>
            <family val="2"/>
          </rPr>
          <t>Kyle Fox:</t>
        </r>
        <r>
          <rPr>
            <sz val="9"/>
            <color indexed="81"/>
            <rFont val="Tahoma"/>
            <family val="2"/>
          </rPr>
          <t xml:space="preserve">
Anticipating 5% increase for coming year (still in negotiations at NRPCSWMG</t>
        </r>
      </text>
    </comment>
    <comment ref="B139" authorId="0" shapeId="0">
      <text>
        <r>
          <rPr>
            <b/>
            <sz val="9"/>
            <color indexed="81"/>
            <rFont val="Tahoma"/>
            <family val="2"/>
          </rPr>
          <t>Kyle Fox:</t>
        </r>
        <r>
          <rPr>
            <sz val="9"/>
            <color indexed="81"/>
            <rFont val="Tahoma"/>
            <family val="2"/>
          </rPr>
          <t xml:space="preserve">
Two highway employess have license and can fill in as needed</t>
        </r>
      </text>
    </comment>
  </commentList>
</comments>
</file>

<file path=xl/sharedStrings.xml><?xml version="1.0" encoding="utf-8"?>
<sst xmlns="http://schemas.openxmlformats.org/spreadsheetml/2006/main" count="5299" uniqueCount="2673">
  <si>
    <t>Hoses for washing tanks and floors and 3 &amp; 4 " pump hoses</t>
  </si>
  <si>
    <t>Flashlights, batteries, UPS and PLC batteries</t>
  </si>
  <si>
    <t>01-07-8102-0 Wages - Clerical</t>
  </si>
  <si>
    <t>01-03-8510-0 Capital Reserve Funds</t>
  </si>
  <si>
    <t>OTHER REVENUE</t>
  </si>
  <si>
    <t>SURPLUS</t>
  </si>
  <si>
    <t>TAX MAPS</t>
  </si>
  <si>
    <t>FIRE &amp; AMBULANCE</t>
  </si>
  <si>
    <t>AMBULANCE FEES</t>
  </si>
  <si>
    <t>FIRE REPORTS</t>
  </si>
  <si>
    <t>FEDERAL GRANTS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</si>
  <si>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</si>
  <si>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</si>
  <si>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</si>
  <si>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</si>
  <si>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</si>
  <si>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</si>
  <si>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</si>
  <si>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</si>
  <si>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</si>
  <si>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</si>
  <si>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</si>
  <si>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</si>
  <si>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</si>
  <si>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2007-08</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</si>
  <si>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</si>
  <si>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</si>
  <si>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</si>
  <si>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</si>
  <si>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</si>
  <si>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</si>
  <si>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</si>
  <si>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</si>
  <si>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</si>
  <si>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</si>
  <si>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</si>
  <si>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</si>
  <si>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</si>
  <si>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</si>
  <si>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</si>
  <si>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</si>
  <si>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</si>
  <si>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</si>
  <si>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</si>
  <si>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</si>
  <si>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</si>
  <si>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</si>
  <si>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</si>
  <si>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</si>
  <si>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</si>
  <si>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</si>
  <si>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</si>
  <si>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</si>
  <si>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</si>
  <si>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</si>
  <si>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</si>
  <si>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</si>
  <si>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</si>
  <si>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</si>
  <si>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</si>
  <si>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</si>
  <si>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Unit $</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</si>
  <si>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</si>
  <si>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</si>
  <si>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</si>
  <si>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</si>
  <si>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</si>
  <si>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</si>
  <si>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</si>
  <si>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</si>
  <si>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</si>
  <si>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</si>
  <si>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</si>
  <si>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</si>
  <si>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</si>
  <si>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</si>
  <si>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t>Computer software annual support - clerk</t>
  </si>
  <si>
    <t>Computer software annual support - tax</t>
  </si>
  <si>
    <t>Antivirus Software</t>
  </si>
  <si>
    <t>Material for temporary pavement patches (roads and bridges)</t>
  </si>
  <si>
    <t>Bond Proceeds</t>
  </si>
  <si>
    <t>Compost Facility</t>
  </si>
  <si>
    <t>2013-14</t>
  </si>
  <si>
    <t>01-06-8230-0 Postage</t>
  </si>
  <si>
    <t>Telephone allocation</t>
  </si>
  <si>
    <t>31-10-8142-0 Compensated Absences</t>
  </si>
  <si>
    <t>Master Patrolmen</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</si>
  <si>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</si>
  <si>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</si>
  <si>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</si>
  <si>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</si>
  <si>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</si>
  <si>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</si>
  <si>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 xml:space="preserve"> Balance *</t>
  </si>
  <si>
    <t>01-06-8111-0 Overtime - Other</t>
  </si>
  <si>
    <t>8107 - Other &gt;$14,000</t>
  </si>
  <si>
    <t>Cellular Phone</t>
  </si>
  <si>
    <t>Brush grinding</t>
  </si>
  <si>
    <t>South Station</t>
  </si>
  <si>
    <t>Central Station</t>
  </si>
  <si>
    <t>SEWER RENTS</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</si>
  <si>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</si>
  <si>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</si>
  <si>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</si>
  <si>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</si>
  <si>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</si>
  <si>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</si>
  <si>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</si>
  <si>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</si>
  <si>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</si>
  <si>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</si>
  <si>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</si>
  <si>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2014-15</t>
  </si>
  <si>
    <t>01-05-8506 Communications Equipment</t>
  </si>
  <si>
    <t>01-07-8359-0 Other Outside Services</t>
  </si>
  <si>
    <t>01-09-8230 Postage</t>
  </si>
  <si>
    <t>01-15-8334-0 Maintenance-Office Equipment</t>
  </si>
  <si>
    <t>01-21-8458-0 Milfoil Treatment Program</t>
  </si>
  <si>
    <t>Building Improvements or Major Repairs</t>
  </si>
  <si>
    <t>01-07-8270-0 Dues &amp; Fees</t>
  </si>
  <si>
    <t>American Public Works Association</t>
  </si>
  <si>
    <t>AFSCME - uniform service</t>
  </si>
  <si>
    <t>Professional and safety training sessions</t>
  </si>
  <si>
    <t>DAY CAMP REGISTRATIONS</t>
  </si>
  <si>
    <t>FOURTH OF JULY COMMITTEE</t>
  </si>
  <si>
    <t>EQUIPMENT REPAIR-WATER DIST</t>
  </si>
  <si>
    <t>PLANNING BOARD</t>
  </si>
  <si>
    <t>ZONING BOARD</t>
  </si>
  <si>
    <t>BUILDING PERMITS</t>
  </si>
  <si>
    <t>01-02-8125-0 Social Security</t>
  </si>
  <si>
    <t>13</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</si>
  <si>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</si>
  <si>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</si>
  <si>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</si>
  <si>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</si>
  <si>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</si>
  <si>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</si>
  <si>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</si>
  <si>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</si>
  <si>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</si>
  <si>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STATE BOAT AGENT FEES</t>
  </si>
  <si>
    <t>CERTIFIED COPIES</t>
  </si>
  <si>
    <t>WELFARE REIMBURSEMENTS</t>
  </si>
  <si>
    <t>PRETREATMENT PERMIT FEES</t>
  </si>
  <si>
    <t>SEWER RENTS-INDUSTRIAL</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</si>
  <si>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</si>
  <si>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</si>
  <si>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</si>
  <si>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</si>
  <si>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</si>
  <si>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</si>
  <si>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</si>
  <si>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FEDERAL DRUG ACT FORFEITURES</t>
  </si>
  <si>
    <t>PISTOL PERMITS</t>
  </si>
  <si>
    <t>ENTERTAINMENT LICENSES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</si>
  <si>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</si>
  <si>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</si>
  <si>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</si>
  <si>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</si>
  <si>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</si>
  <si>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</si>
  <si>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</si>
  <si>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</si>
  <si>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</si>
  <si>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</si>
  <si>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</si>
  <si>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RESTAURANT LICENSE</t>
  </si>
  <si>
    <t>Highway garage, including Equipment Maintenance area</t>
  </si>
  <si>
    <t>01-08-8245-0 Sewer</t>
  </si>
  <si>
    <t>CABLE TELEVISION</t>
  </si>
  <si>
    <t>INTEREST-COMMERCIAL SEWER</t>
  </si>
  <si>
    <t>COMPOST SALES</t>
  </si>
  <si>
    <t>PRETREATMENT TESTING</t>
  </si>
  <si>
    <t>SEWER CONNECTION FEES</t>
  </si>
  <si>
    <t>CONTRACTUAL SLUDGE PROCESSING</t>
  </si>
  <si>
    <t>CATV FRANCHISE FEES</t>
  </si>
  <si>
    <t>OTHER CHARGES</t>
  </si>
  <si>
    <t>HYDRANT RENTS</t>
  </si>
  <si>
    <t>INTEREST-HYDRANT RENTS</t>
  </si>
  <si>
    <t>RECYCLED MATERIALS</t>
  </si>
  <si>
    <t>DUMP FEES</t>
  </si>
  <si>
    <t>FINES</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</si>
  <si>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</si>
  <si>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</si>
  <si>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</si>
  <si>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</si>
  <si>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</si>
  <si>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</si>
  <si>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</si>
  <si>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</si>
  <si>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</si>
  <si>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</si>
  <si>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</si>
  <si>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</si>
  <si>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</si>
  <si>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</si>
  <si>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</si>
  <si>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</si>
  <si>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</si>
  <si>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</si>
  <si>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</si>
  <si>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</si>
  <si>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</si>
  <si>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</si>
  <si>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</si>
  <si>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</si>
  <si>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</si>
  <si>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</si>
  <si>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</si>
  <si>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</si>
  <si>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</si>
  <si>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</si>
  <si>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</si>
  <si>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</si>
  <si>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</si>
  <si>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</si>
  <si>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</si>
  <si>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</si>
  <si>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</si>
  <si>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</si>
  <si>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</si>
  <si>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</si>
  <si>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</si>
  <si>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</si>
  <si>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</si>
  <si>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</si>
  <si>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COMMUNITY DEVELOPMENT</t>
  </si>
  <si>
    <t>ORDINANCES/CODE BOOKS</t>
  </si>
  <si>
    <t>PROPERTY TAX</t>
  </si>
  <si>
    <t>CURRENT USE TAX</t>
  </si>
  <si>
    <t>31-10-8244-0 Water</t>
  </si>
  <si>
    <t>INSPECTIONS &amp; PLAN REVIEW</t>
  </si>
  <si>
    <t>TRANSFER-CAPITAL RESERVE FUND</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</si>
  <si>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</si>
  <si>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</si>
  <si>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</si>
  <si>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</si>
  <si>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</si>
  <si>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</si>
  <si>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</si>
  <si>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</si>
  <si>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</si>
  <si>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</si>
  <si>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</si>
  <si>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</si>
  <si>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</si>
  <si>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</si>
  <si>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</si>
  <si>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</si>
  <si>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GENERAL GOVERNMENT</t>
  </si>
  <si>
    <t>Actual</t>
  </si>
  <si>
    <t>Budget</t>
  </si>
  <si>
    <t>South Fire Station</t>
  </si>
  <si>
    <t>Operations Manager</t>
  </si>
  <si>
    <t>Highway Foreman/Inspector</t>
  </si>
  <si>
    <t>01-16-8201-0 Office Supplies</t>
  </si>
  <si>
    <t>01-16-8203-0 Operating Supplies</t>
  </si>
  <si>
    <t>01-07-8103-0 Wages - Supervisory</t>
  </si>
  <si>
    <t>Public Works Director</t>
  </si>
  <si>
    <t>Maintenance Manager</t>
  </si>
  <si>
    <t>31-10-8504-0 Office Equipment</t>
  </si>
  <si>
    <t xml:space="preserve">No. of </t>
  </si>
  <si>
    <t>Call personnel</t>
  </si>
  <si>
    <t>FIRE PROTECTION AREA</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</si>
  <si>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</si>
  <si>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</si>
  <si>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</si>
  <si>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</si>
  <si>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</si>
  <si>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</si>
  <si>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</si>
  <si>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</si>
  <si>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</si>
  <si>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</si>
  <si>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</si>
  <si>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</si>
  <si>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</si>
  <si>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</si>
  <si>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</si>
  <si>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Description</t>
  </si>
  <si>
    <t>BOND PROCEEDS</t>
  </si>
  <si>
    <t>DRAINAGE IMPROVEMENTS</t>
  </si>
  <si>
    <t>Nominal amount to provide an appropriation should the issuance of</t>
  </si>
  <si>
    <t>tax anticipation notes become necessary</t>
  </si>
  <si>
    <t>01-21-8504-0 Office Equipment</t>
  </si>
  <si>
    <t>01-25-8493-0 Insurance</t>
  </si>
  <si>
    <t>01-25-8494-0 Burials</t>
  </si>
  <si>
    <t>DEBT SERVICE</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</si>
  <si>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</si>
  <si>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</si>
  <si>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</si>
  <si>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</si>
  <si>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</si>
  <si>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</si>
  <si>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</si>
  <si>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</si>
  <si>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</si>
  <si>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Painting</t>
  </si>
  <si>
    <t>Plumbing repairs</t>
  </si>
  <si>
    <t>Miscellaneous repairs</t>
  </si>
  <si>
    <t>8104 - full-time</t>
  </si>
  <si>
    <t>8107 - full-time</t>
  </si>
  <si>
    <t>Property tax levy</t>
  </si>
  <si>
    <t>31-10-8135-0 Workers Compensation</t>
  </si>
  <si>
    <t>IMPACT FEES West Chamberlin</t>
  </si>
  <si>
    <t>Bond Interest</t>
  </si>
  <si>
    <t>Bond</t>
  </si>
  <si>
    <t>Surplus - Bond</t>
  </si>
  <si>
    <t>01-03-8135-0 Workers Compensation</t>
  </si>
  <si>
    <t>01-09-8321-0 Maintenance-Buildings</t>
  </si>
  <si>
    <t>01-08-8321-0 Maintenance-Buildings</t>
  </si>
  <si>
    <t>Highway - fire alarm system, furnace, plumbing, electrical,</t>
  </si>
  <si>
    <t>8104 - part-time &gt;$14,000</t>
  </si>
  <si>
    <t>Police &amp; Fire Details</t>
  </si>
  <si>
    <t>Bonds &amp; Major Capital Projects</t>
  </si>
  <si>
    <t>8104 - Others</t>
  </si>
  <si>
    <t>Severance pay re: terminating employees of all departments:</t>
  </si>
  <si>
    <t>Copier paper, computer paper, software, and other office supplies</t>
  </si>
  <si>
    <t>Martel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</si>
  <si>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</si>
  <si>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</si>
  <si>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</si>
  <si>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</si>
  <si>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</si>
  <si>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</si>
  <si>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</si>
  <si>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</si>
  <si>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</si>
  <si>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16</t>
  </si>
  <si>
    <t>Equipment Maintenance</t>
  </si>
  <si>
    <t>17</t>
  </si>
  <si>
    <t>Buildings &amp; Grounds</t>
  </si>
  <si>
    <t>21</t>
  </si>
  <si>
    <t>Community Development</t>
  </si>
  <si>
    <t>24</t>
  </si>
  <si>
    <t>25</t>
  </si>
  <si>
    <t>Welfare</t>
  </si>
  <si>
    <t>27</t>
  </si>
  <si>
    <t>Council</t>
  </si>
  <si>
    <t xml:space="preserve">  Nursery stock</t>
  </si>
  <si>
    <t xml:space="preserve">  Loam and mulch</t>
  </si>
  <si>
    <t>SOLID WASTE DISPOSAL</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</si>
  <si>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</si>
  <si>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</si>
  <si>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</si>
  <si>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</si>
  <si>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</si>
  <si>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</si>
  <si>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</si>
  <si>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</si>
  <si>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</si>
  <si>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</si>
  <si>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</si>
  <si>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</si>
  <si>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</si>
  <si>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</si>
  <si>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</si>
  <si>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</si>
  <si>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</si>
  <si>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</si>
  <si>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</si>
  <si>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</si>
  <si>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</si>
  <si>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</si>
  <si>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</si>
  <si>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</si>
  <si>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</si>
  <si>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</si>
  <si>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</si>
  <si>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</si>
  <si>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</si>
  <si>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</si>
  <si>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</si>
  <si>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</si>
  <si>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</si>
  <si>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</si>
  <si>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</si>
  <si>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</si>
  <si>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</si>
  <si>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</si>
  <si>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</si>
  <si>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</si>
  <si>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</si>
  <si>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</si>
  <si>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</si>
  <si>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</si>
  <si>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</si>
  <si>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</si>
  <si>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</si>
  <si>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</si>
  <si>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STATE GRANTS</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</si>
  <si>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</si>
  <si>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</si>
  <si>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</si>
  <si>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</si>
  <si>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</si>
  <si>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</si>
  <si>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</si>
  <si>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</si>
  <si>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01-01-8408-0 Agricultural Committee</t>
  </si>
  <si>
    <t>Farm Bureau membership                                                          </t>
  </si>
  <si>
    <t>ADMIN CHARGE- Day Camp</t>
  </si>
  <si>
    <t>2010-11</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</si>
  <si>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</si>
  <si>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</si>
  <si>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</si>
  <si>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</si>
  <si>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</si>
  <si>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</si>
  <si>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</si>
  <si>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</si>
  <si>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</si>
  <si>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</si>
  <si>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</si>
  <si>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</si>
  <si>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31-10-8420-0 Advertising</t>
  </si>
  <si>
    <t>RECORDING FEES</t>
  </si>
  <si>
    <t>MAILING FEES</t>
  </si>
  <si>
    <t xml:space="preserve"> </t>
  </si>
  <si>
    <t>01-01-8107-0 Wages - Part-Time</t>
  </si>
  <si>
    <t>Secretary</t>
  </si>
  <si>
    <t>Young adult programs</t>
  </si>
  <si>
    <t>STATE REVENUE SHARING</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</si>
  <si>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</si>
  <si>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</si>
  <si>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</si>
  <si>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</si>
  <si>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</si>
  <si>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</si>
  <si>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</si>
  <si>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</si>
  <si>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</si>
  <si>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</si>
  <si>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</si>
  <si>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</si>
  <si>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</si>
  <si>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</si>
  <si>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</si>
  <si>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</si>
  <si>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ENGINEERING PLAN REVIEW</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</si>
  <si>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</si>
  <si>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</si>
  <si>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</si>
  <si>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</si>
  <si>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</si>
  <si>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</si>
  <si>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</si>
  <si>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</si>
  <si>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</si>
  <si>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</si>
  <si>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</si>
  <si>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</si>
  <si>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</si>
  <si>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</si>
  <si>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</si>
  <si>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</si>
  <si>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</si>
  <si>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</si>
  <si>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</si>
  <si>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</si>
  <si>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</si>
  <si>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</si>
  <si>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</si>
  <si>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01-01-8143-0 EMPLOYEE INCENTIVES/Raises</t>
  </si>
  <si>
    <t>Code Enforcement</t>
  </si>
  <si>
    <t>Book binding of permanent records, mortgage search, and recording and</t>
  </si>
  <si>
    <t>01-15-8504-0 Office Equipment</t>
  </si>
  <si>
    <t>Executive Secretary</t>
  </si>
  <si>
    <t>01-03-8103-0 Wages - Supervisory</t>
  </si>
  <si>
    <t>Assistant Chief</t>
  </si>
  <si>
    <t>Captain</t>
  </si>
  <si>
    <t>Lieutenant</t>
  </si>
  <si>
    <t>SEWER RENTS-COMMERCIAL</t>
  </si>
  <si>
    <t>INTEREST-INDUSTRIAL SEWER</t>
  </si>
  <si>
    <t>INTEREST-RESIDENTIAL SEWER</t>
  </si>
  <si>
    <t>Diesel fuel for repairs, pressure washer, and other equipment</t>
  </si>
  <si>
    <t>Electronics</t>
  </si>
  <si>
    <t xml:space="preserve">  Town contribution</t>
  </si>
  <si>
    <t>01-01-8410-0 Elections/Voter Registration</t>
  </si>
  <si>
    <t>Wages:</t>
  </si>
  <si>
    <t xml:space="preserve">  Total wages</t>
  </si>
  <si>
    <t>Social security - 7.65%</t>
  </si>
  <si>
    <t>RAILROAD TAX</t>
  </si>
  <si>
    <t>POOL TABLE LICENSE</t>
  </si>
  <si>
    <t>AMUSEMENT DEVICE LICENSES</t>
  </si>
  <si>
    <t>JUNK YARD LICENSES</t>
  </si>
  <si>
    <t>31-10-8107-0 Wages - Part-Time</t>
  </si>
  <si>
    <t>Pavement markings</t>
  </si>
  <si>
    <t>31-10-8351-0 Consultants</t>
  </si>
  <si>
    <t>Assessing</t>
  </si>
  <si>
    <t>03</t>
  </si>
  <si>
    <t>Fire</t>
  </si>
  <si>
    <t>04</t>
  </si>
  <si>
    <t>Police</t>
  </si>
  <si>
    <t>TAX OVERLAY</t>
  </si>
  <si>
    <t>BOAT REGISTRATIONS</t>
  </si>
  <si>
    <t>01-15-8134-0 Disability Insurance</t>
  </si>
  <si>
    <t>01-25-8260-0 Telephone</t>
  </si>
  <si>
    <t>01-24-8334-0 Maintenance-Office Equipment</t>
  </si>
  <si>
    <t>PROPERTY TAX INTEREST</t>
  </si>
  <si>
    <t>BOOK SALES</t>
  </si>
  <si>
    <t>TRUST FUND INTEREST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</si>
  <si>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</si>
  <si>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</si>
  <si>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</si>
  <si>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</si>
  <si>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</si>
  <si>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</si>
  <si>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</si>
  <si>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</si>
  <si>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</si>
  <si>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</si>
  <si>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</si>
  <si>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OIL BURNER PERMITS</t>
  </si>
  <si>
    <t>Sub Total</t>
  </si>
  <si>
    <t>01-16-8136-0 Unemployment Compensation</t>
  </si>
  <si>
    <t xml:space="preserve">  training, sick, vacation, court, and holidays</t>
  </si>
  <si>
    <t>Justice of the Peace</t>
  </si>
  <si>
    <t>Ballots and memory pack programming</t>
  </si>
  <si>
    <t>Grand total</t>
  </si>
  <si>
    <t>NHMA Annual Conference</t>
  </si>
  <si>
    <t>01-21-8420-0 Advertising</t>
  </si>
  <si>
    <t>SALES OF PROPERTY &amp; EQUIP</t>
  </si>
  <si>
    <t>BUILDING RENTAL</t>
  </si>
  <si>
    <t>Patrolman</t>
  </si>
  <si>
    <t>MYA Building and outdoor lighting</t>
  </si>
  <si>
    <t>INTINERANT VENDOR PERMITS</t>
  </si>
  <si>
    <t>COPIES</t>
  </si>
  <si>
    <t>Regional Solid Waste District</t>
  </si>
  <si>
    <t>Council (7)</t>
  </si>
  <si>
    <t>Seminars, meetings, and conferences</t>
  </si>
  <si>
    <t>Dispatchers Part-time</t>
  </si>
  <si>
    <t>INSURANCE PREMIUM REBATES</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</si>
  <si>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</si>
  <si>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</si>
  <si>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</si>
  <si>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</si>
  <si>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</si>
  <si>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</si>
  <si>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</si>
  <si>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</si>
  <si>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</si>
  <si>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</si>
  <si>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</si>
  <si>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</si>
  <si>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2006-07</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</si>
  <si>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</si>
  <si>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</si>
  <si>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</si>
  <si>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</si>
  <si>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</si>
  <si>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</si>
  <si>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</si>
  <si>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</si>
  <si>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</si>
  <si>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</si>
  <si>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</si>
  <si>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</si>
  <si>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</si>
  <si>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</si>
  <si>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</si>
  <si>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</si>
  <si>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</si>
  <si>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</si>
  <si>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</si>
  <si>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</si>
  <si>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</si>
  <si>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</si>
  <si>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</si>
  <si>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</si>
  <si>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</si>
  <si>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PARKS &amp; RECREATION</t>
  </si>
  <si>
    <t>01-05-8104-0 Wages - Other Full-Time</t>
  </si>
  <si>
    <t xml:space="preserve">    Merrimack River Watershed Council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</si>
  <si>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</si>
  <si>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</si>
  <si>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</si>
  <si>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</si>
  <si>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</si>
  <si>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</si>
  <si>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</si>
  <si>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</si>
  <si>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</si>
  <si>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</si>
  <si>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2009-10</t>
  </si>
  <si>
    <t>01-24-8103-0 Wages - Supervisory</t>
  </si>
  <si>
    <t>Outside Detail - Police</t>
  </si>
  <si>
    <t>Outside Detail - Fire</t>
  </si>
  <si>
    <t>Transfer to Communication Equipment Capital Reserve Fund</t>
  </si>
  <si>
    <t>Transfer to Fire Equipment Capital Reserve Fund</t>
  </si>
  <si>
    <t>ADMIN CHARGE-SEWER</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</si>
  <si>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</si>
  <si>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</si>
  <si>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</si>
  <si>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</si>
  <si>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</si>
  <si>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</si>
  <si>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</si>
  <si>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</si>
  <si>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</si>
  <si>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</si>
  <si>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</si>
  <si>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</si>
  <si>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</si>
  <si>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</si>
  <si>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</si>
  <si>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</si>
  <si>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</si>
  <si>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</si>
  <si>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</si>
  <si>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</si>
  <si>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</si>
  <si>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</si>
  <si>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</si>
  <si>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</si>
  <si>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</si>
  <si>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</si>
  <si>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20-04</t>
  </si>
  <si>
    <t>20-03</t>
  </si>
  <si>
    <t>38-15</t>
  </si>
  <si>
    <t xml:space="preserve">Library </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</si>
  <si>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</si>
  <si>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</si>
  <si>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</si>
  <si>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</si>
  <si>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</si>
  <si>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</si>
  <si>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</si>
  <si>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</si>
  <si>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</si>
  <si>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</si>
  <si>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</si>
  <si>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</si>
  <si>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</si>
  <si>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</si>
  <si>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BUILDINGS &amp; GROUNDS</t>
  </si>
  <si>
    <t>01-01-8407-0 Historic Preservation</t>
  </si>
  <si>
    <t>OPERATION BRIGHTSIDE</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</si>
  <si>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</si>
  <si>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</si>
  <si>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</si>
  <si>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</si>
  <si>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</si>
  <si>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</si>
  <si>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</si>
  <si>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</si>
  <si>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</si>
  <si>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</si>
  <si>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</si>
  <si>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</si>
  <si>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Tax Overlay</t>
  </si>
  <si>
    <t>AB Waste</t>
  </si>
  <si>
    <t>Appropriations</t>
  </si>
  <si>
    <t>Estimated revenues</t>
  </si>
  <si>
    <t>General Fund surplus:</t>
  </si>
  <si>
    <t xml:space="preserve">  Property tax relief</t>
  </si>
  <si>
    <t>Valuation for state property tax rate</t>
  </si>
  <si>
    <t>Municipal property tax rate</t>
  </si>
  <si>
    <t>Year</t>
  </si>
  <si>
    <t>Rate</t>
  </si>
  <si>
    <t>Full time employees</t>
  </si>
  <si>
    <t>Postage machine and scale</t>
  </si>
  <si>
    <t>SEPTIC SYSTEM INSPECTIONS</t>
  </si>
  <si>
    <t>Northern New England Recreation Conference</t>
  </si>
  <si>
    <t>Local Emergency Planning Committee (LEPC) (federal State Regulations)</t>
  </si>
  <si>
    <t>Janitorial supplies, lightbulbs</t>
  </si>
  <si>
    <t>Cable internet/VPN</t>
  </si>
  <si>
    <t>Building Inspector</t>
  </si>
  <si>
    <t>01-21-8107-0 Wages - Part-Time</t>
  </si>
  <si>
    <t>STATE AUTO AGENT FEES</t>
  </si>
  <si>
    <t>SPECIAL LIBRARY</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</si>
  <si>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</si>
  <si>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</si>
  <si>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</si>
  <si>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</si>
  <si>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</si>
  <si>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</si>
  <si>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</si>
  <si>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</si>
  <si>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</si>
  <si>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Social security</t>
  </si>
  <si>
    <t>Workers compensation</t>
  </si>
  <si>
    <t>Unemployment compensation</t>
  </si>
  <si>
    <t>01-01-8405-0 Nashua Transit System</t>
  </si>
  <si>
    <t>01-03-8406-0 Emergency Management</t>
  </si>
  <si>
    <t>Internet services</t>
  </si>
  <si>
    <t>01-03-8280-0 General Insurance</t>
  </si>
  <si>
    <t>01-24-8504-0 Office Equipment</t>
  </si>
  <si>
    <t>WELFARE</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</si>
  <si>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</si>
  <si>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</si>
  <si>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</si>
  <si>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</si>
  <si>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</si>
  <si>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</si>
  <si>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</si>
  <si>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</si>
  <si>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</si>
  <si>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</si>
  <si>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</si>
  <si>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</si>
  <si>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</si>
  <si>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</si>
  <si>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</si>
  <si>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</si>
  <si>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Amount</t>
  </si>
  <si>
    <t>%</t>
  </si>
  <si>
    <t>01</t>
  </si>
  <si>
    <t>General Government</t>
  </si>
  <si>
    <t>02</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</si>
  <si>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</si>
  <si>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</si>
  <si>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</si>
  <si>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</si>
  <si>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</si>
  <si>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</si>
  <si>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</si>
  <si>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</si>
  <si>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</si>
  <si>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</si>
  <si>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Fax/modem line</t>
  </si>
  <si>
    <t xml:space="preserve">  releasing tax liens and deeds</t>
  </si>
  <si>
    <t>01-24-8420-0 Advertising</t>
  </si>
  <si>
    <t>Dog tags</t>
  </si>
  <si>
    <t>31-10-8134-0 Disability Insurance</t>
  </si>
  <si>
    <t>Balance as of</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</si>
  <si>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</si>
  <si>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</si>
  <si>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</si>
  <si>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</si>
  <si>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</si>
  <si>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</si>
  <si>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</si>
  <si>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</si>
  <si>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</si>
  <si>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</si>
  <si>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</si>
  <si>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</si>
  <si>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TAX Lien INTEREST</t>
  </si>
  <si>
    <t>32-32-8351-0 Consultants</t>
  </si>
  <si>
    <t>COURT TIME REIMBURSEMENTS</t>
  </si>
  <si>
    <t>DISTRICT COURT</t>
  </si>
  <si>
    <t>PUBLIC WORKS ADMIN</t>
  </si>
  <si>
    <t>HIGHWAY BLOCK GRANT</t>
  </si>
  <si>
    <t>Office furniture</t>
  </si>
  <si>
    <t>Movie Licensing USA</t>
  </si>
  <si>
    <t>01-09-8370-0 Landfill Monitoring</t>
  </si>
  <si>
    <t>01-07-8300-0 Travel &amp; Meetings</t>
  </si>
  <si>
    <t>NH Tax Collector Seminar</t>
  </si>
  <si>
    <t xml:space="preserve">INCLUDED IN MUNICIPAL OPERATING BUDGET </t>
  </si>
  <si>
    <t>Bud. Expend.</t>
  </si>
  <si>
    <t>Balance *</t>
  </si>
  <si>
    <t>Est. Expend</t>
  </si>
  <si>
    <t>Ambulance</t>
  </si>
  <si>
    <t>Athletic Fields</t>
  </si>
  <si>
    <t>Communications Equipment</t>
  </si>
  <si>
    <t>Computer Equipment</t>
  </si>
  <si>
    <t>Daniel Webster Highway</t>
  </si>
  <si>
    <t>Fire Equipment</t>
  </si>
  <si>
    <t>Highway Equipment</t>
  </si>
  <si>
    <t>Land Bank</t>
  </si>
  <si>
    <t>Library Building Maintenance Fund</t>
  </si>
  <si>
    <t>Playground Equipment</t>
  </si>
  <si>
    <t>Property Revaluation</t>
  </si>
  <si>
    <t>Road Improvements</t>
  </si>
  <si>
    <t xml:space="preserve">Fire Station Improvements </t>
  </si>
  <si>
    <t>Traffic Signal Pre-emption</t>
  </si>
  <si>
    <t>Road Infrastructure CRF</t>
  </si>
  <si>
    <t xml:space="preserve">Sewer Infrastructure Improvements </t>
  </si>
  <si>
    <t>Operating budget</t>
  </si>
  <si>
    <t>01-03-8335-0 Maintenance-Communications Equipment</t>
  </si>
  <si>
    <t>SEWER INSPECTIONS</t>
  </si>
  <si>
    <t>APPLICATION FEES</t>
  </si>
  <si>
    <t>01-04-8230-0 Postage</t>
  </si>
  <si>
    <t>01-08-8104-0 Wages - Other Full-Time</t>
  </si>
  <si>
    <t xml:space="preserve">  vacation/sick time coverage by Highway</t>
  </si>
  <si>
    <t>8103 - Foreman/Supervisor</t>
  </si>
  <si>
    <t xml:space="preserve">  Passenger Tires</t>
  </si>
  <si>
    <t xml:space="preserve">  Truck Tires</t>
  </si>
  <si>
    <t xml:space="preserve">  Offroad tires</t>
  </si>
  <si>
    <t xml:space="preserve">  Propane tanks</t>
  </si>
  <si>
    <t xml:space="preserve">  Refrigerators</t>
  </si>
  <si>
    <t xml:space="preserve">  Air Conditioners</t>
  </si>
  <si>
    <t xml:space="preserve">  Electronic Equipment</t>
  </si>
  <si>
    <t>Total revenue per Revenue Report</t>
  </si>
  <si>
    <t>Total revenue per above</t>
  </si>
  <si>
    <t>Surplus - General Fund</t>
  </si>
  <si>
    <t>Surplus - Sewer Fund</t>
  </si>
  <si>
    <t>Surplus - CATV Fund</t>
  </si>
  <si>
    <t>Surplus - Fire Protection Area Fund</t>
  </si>
  <si>
    <t>Surplus - Solid Waste Disposal Fund</t>
  </si>
  <si>
    <t>Surplus - Special Library Funds</t>
  </si>
  <si>
    <t>Total expenditures per Expenditure Report</t>
  </si>
  <si>
    <t>Total expenditures per above</t>
  </si>
  <si>
    <t>Property tax</t>
  </si>
  <si>
    <t>General Fund surplus</t>
  </si>
  <si>
    <t>BPT - Municipal</t>
  </si>
  <si>
    <t>BPT - County</t>
  </si>
  <si>
    <t>Total revenues - MS-4</t>
  </si>
  <si>
    <t>Property tax per revenue budget</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</si>
  <si>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</si>
  <si>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</si>
  <si>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</si>
  <si>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</si>
  <si>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</si>
  <si>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</si>
  <si>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</si>
  <si>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</si>
  <si>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</si>
  <si>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</si>
  <si>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</si>
  <si>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Tax overlay</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</si>
  <si>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</si>
  <si>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</si>
  <si>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</si>
  <si>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</si>
  <si>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</si>
  <si>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</si>
  <si>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</si>
  <si>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</si>
  <si>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</si>
  <si>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</si>
  <si>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</si>
  <si>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</si>
  <si>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</si>
  <si>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</si>
  <si>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2011-12</t>
  </si>
  <si>
    <t>Media Coordinator</t>
  </si>
  <si>
    <t>Assistant Media Coordinator</t>
  </si>
  <si>
    <t>32-32-8103-0 Wages - Supervisory</t>
  </si>
  <si>
    <t>32-32-8107-0 Wages - Part-Time</t>
  </si>
  <si>
    <t>32-32-8125-0 Social Security</t>
  </si>
  <si>
    <t>01-21-8352-0 Education &amp; Training</t>
  </si>
  <si>
    <t>Children's programs</t>
  </si>
  <si>
    <t>Children's materials</t>
  </si>
  <si>
    <t>Fire Details</t>
  </si>
  <si>
    <t xml:space="preserve">Fire  </t>
  </si>
  <si>
    <t>Acct No.</t>
  </si>
  <si>
    <t>WASTE WATER FUND</t>
  </si>
  <si>
    <t>ADMIN CHARGE- outside details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</si>
  <si>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</si>
  <si>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</si>
  <si>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</si>
  <si>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</si>
  <si>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</si>
  <si>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</si>
  <si>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</si>
  <si>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</si>
  <si>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</si>
  <si>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</si>
  <si>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</si>
  <si>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</si>
  <si>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</si>
  <si>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</si>
  <si>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HIGHWAY</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</si>
  <si>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</si>
  <si>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</si>
  <si>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</si>
  <si>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</si>
  <si>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</si>
  <si>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</si>
  <si>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</si>
  <si>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</si>
  <si>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</si>
  <si>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2005-06</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</si>
  <si>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</si>
  <si>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</si>
  <si>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</si>
  <si>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</si>
  <si>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</si>
  <si>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</si>
  <si>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</si>
  <si>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</si>
  <si>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</si>
  <si>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</si>
  <si>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</si>
  <si>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</si>
  <si>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</si>
  <si>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</si>
  <si>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ADMIN CHARGE- Media</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</si>
  <si>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</si>
  <si>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</si>
  <si>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</si>
  <si>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</si>
  <si>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</si>
  <si>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</si>
  <si>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</si>
  <si>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</si>
  <si>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</si>
  <si>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</si>
  <si>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</si>
  <si>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Highway</t>
  </si>
  <si>
    <t>09</t>
  </si>
  <si>
    <t>EQUIPMENT MAINTENANCE</t>
  </si>
  <si>
    <t>01-16-8103-0 Wages - Supervisory</t>
  </si>
  <si>
    <t>Foreman</t>
  </si>
  <si>
    <t>01-16-8104-0 Wages - Other Full-Time</t>
  </si>
  <si>
    <t>Merrimack Historical Society:</t>
  </si>
  <si>
    <t xml:space="preserve">  Electricity</t>
  </si>
  <si>
    <t xml:space="preserve">  Heat</t>
  </si>
  <si>
    <t xml:space="preserve">  Insurance</t>
  </si>
  <si>
    <t xml:space="preserve">  Postage</t>
  </si>
  <si>
    <t>Short-term disability insurance</t>
  </si>
  <si>
    <t>2008-09</t>
  </si>
  <si>
    <t>01-05-8260-0 Telephone</t>
  </si>
  <si>
    <t>American Red Cross-disaster, blood, health &amp; safety education</t>
  </si>
  <si>
    <t>South Fire Station bond</t>
  </si>
  <si>
    <t>Private Donation South fire Station</t>
  </si>
  <si>
    <t>Grant</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</si>
  <si>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</si>
  <si>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</si>
  <si>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</si>
  <si>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</si>
  <si>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</si>
  <si>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</si>
  <si>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</si>
  <si>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</si>
  <si>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</si>
  <si>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</si>
  <si>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</si>
  <si>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</si>
  <si>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</si>
  <si>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</si>
  <si>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</si>
  <si>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</si>
  <si>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</si>
  <si>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</si>
  <si>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</si>
  <si>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</si>
  <si>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</si>
  <si>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</si>
  <si>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</si>
  <si>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</si>
  <si>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</si>
  <si>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</si>
  <si>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</si>
  <si>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</si>
  <si>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</si>
  <si>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</si>
  <si>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</si>
  <si>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</si>
  <si>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</si>
  <si>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</si>
  <si>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</si>
  <si>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</si>
  <si>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</si>
  <si>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</si>
  <si>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</si>
  <si>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</si>
  <si>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</si>
  <si>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</si>
  <si>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</si>
  <si>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Transfer to Playground Equipment Capital Reserve Fund</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</si>
  <si>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</si>
  <si>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</si>
  <si>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</si>
  <si>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</si>
  <si>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</si>
  <si>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</si>
  <si>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</si>
  <si>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</si>
  <si>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</si>
  <si>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</si>
  <si>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</si>
  <si>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</si>
  <si>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</si>
  <si>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</si>
  <si>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</si>
  <si>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</si>
  <si>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</si>
  <si>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</si>
  <si>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UCC FILINGS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</si>
  <si>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</si>
  <si>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</si>
  <si>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</si>
  <si>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</si>
  <si>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</si>
  <si>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</si>
  <si>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</si>
  <si>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</si>
  <si>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</si>
  <si>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</si>
  <si>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Sewer Line Extension</t>
  </si>
  <si>
    <t>01-13-8505-0  Infrastructure</t>
  </si>
  <si>
    <t>Nashua Soup Kitchen &amp; Shelter - basic needs and shelters</t>
  </si>
  <si>
    <t>01-05-8111-0 Overtime - Other</t>
  </si>
  <si>
    <t>Shift overtime and coverage for vacations, sick leave,</t>
  </si>
  <si>
    <t>holidays, and training</t>
  </si>
  <si>
    <t>01-05-8125-0 Social Security</t>
  </si>
  <si>
    <t>01-17-8107-0 Wages - Part-Time</t>
  </si>
  <si>
    <t>01-17-8111-0 Overtime - Other</t>
  </si>
  <si>
    <t>01-13-8322-0 Maintenance-Grounds</t>
  </si>
  <si>
    <t>DAY CAMP surplus</t>
  </si>
  <si>
    <t>01-17-8125-0 Social Security</t>
  </si>
  <si>
    <t>01-17-8128-0 Retirement</t>
  </si>
  <si>
    <t>01-17-8131-0 Health Insurance</t>
  </si>
  <si>
    <t>POLICE</t>
  </si>
  <si>
    <t>01-04-8102-0 Wages - Clerical</t>
  </si>
  <si>
    <t>Uniform service - AFSCME</t>
  </si>
  <si>
    <t>Dept</t>
  </si>
  <si>
    <t>Sewer Fund Total</t>
  </si>
  <si>
    <t>CATV Fund</t>
  </si>
  <si>
    <t>Fire Protection Area Fund</t>
  </si>
  <si>
    <t>Warrant Articles:</t>
  </si>
  <si>
    <t>Warrant Article Total</t>
  </si>
  <si>
    <t>Total after Warrant Articles</t>
  </si>
  <si>
    <t>8103 - Planning/zoning</t>
  </si>
  <si>
    <t>Ambulance Garage</t>
  </si>
  <si>
    <t>06</t>
  </si>
  <si>
    <t>College courses and seminars - NEPBA</t>
  </si>
  <si>
    <t xml:space="preserve">Road Improvement Fund </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</si>
  <si>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</si>
  <si>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</si>
  <si>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</si>
  <si>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</si>
  <si>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</si>
  <si>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</si>
  <si>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</si>
  <si>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</si>
  <si>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</si>
  <si>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</si>
  <si>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</si>
  <si>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</si>
  <si>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</si>
  <si>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</si>
  <si>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</si>
  <si>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</si>
  <si>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</si>
  <si>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</si>
  <si>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</si>
  <si>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</si>
  <si>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</si>
  <si>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</si>
  <si>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</si>
  <si>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</si>
  <si>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</si>
  <si>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</si>
  <si>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</si>
  <si>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</si>
  <si>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</si>
  <si>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</si>
  <si>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</si>
  <si>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Solid Waste Disposal</t>
  </si>
  <si>
    <t>10</t>
  </si>
  <si>
    <t>Wastewater Treatment</t>
  </si>
  <si>
    <t>TITLE APPLICATIONS</t>
  </si>
  <si>
    <t>DOG LICENSES</t>
  </si>
  <si>
    <t>MARRIAGE LICENSES</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</si>
  <si>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</si>
  <si>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</si>
  <si>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</si>
  <si>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</si>
  <si>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</si>
  <si>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</si>
  <si>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</si>
  <si>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</si>
  <si>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</si>
  <si>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</si>
  <si>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</si>
  <si>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FEDERAL DRUG/ALCOHOL ABUSE</t>
  </si>
  <si>
    <t>OTHER SERVICES</t>
  </si>
  <si>
    <t>INTEREST-POOLED CASH</t>
  </si>
  <si>
    <t>PRIVATE GRANTS</t>
  </si>
  <si>
    <t>Admin Charge</t>
  </si>
  <si>
    <t xml:space="preserve">Fire Protection </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</si>
  <si>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</si>
  <si>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</si>
  <si>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</si>
  <si>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</si>
  <si>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</si>
  <si>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</si>
  <si>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</si>
  <si>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</si>
  <si>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</si>
  <si>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</si>
  <si>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</si>
  <si>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</si>
  <si>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</si>
  <si>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</si>
  <si>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</si>
  <si>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MAIL-IN PROGRAM FEES</t>
  </si>
  <si>
    <t xml:space="preserve">Horsehill Nature </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</si>
  <si>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</si>
  <si>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</si>
  <si>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</si>
  <si>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</si>
  <si>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</si>
  <si>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</si>
  <si>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</si>
  <si>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</si>
  <si>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</si>
  <si>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</si>
  <si>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</si>
  <si>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</si>
  <si>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</si>
  <si>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</si>
  <si>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</si>
  <si>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</si>
  <si>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</si>
  <si>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</si>
  <si>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</si>
  <si>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</si>
  <si>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</si>
  <si>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</si>
  <si>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</si>
  <si>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</si>
  <si>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WASTEWATER TREATMENT</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</si>
  <si>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</si>
  <si>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</si>
  <si>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</si>
  <si>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</si>
  <si>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</si>
  <si>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</si>
  <si>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</si>
  <si>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</si>
  <si>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</si>
  <si>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</si>
  <si>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</si>
  <si>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</si>
  <si>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TOWN CLERK/TAX COLLECTOR</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</si>
  <si>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</si>
  <si>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</si>
  <si>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</si>
  <si>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</si>
  <si>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</si>
  <si>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</si>
  <si>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</si>
  <si>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</si>
  <si>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</si>
  <si>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</si>
  <si>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</si>
  <si>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</si>
  <si>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</si>
  <si>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</si>
  <si>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</si>
  <si>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</si>
  <si>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</si>
  <si>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</si>
  <si>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</si>
  <si>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</si>
  <si>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</si>
  <si>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</si>
  <si>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</si>
  <si>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</si>
  <si>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</si>
  <si>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</si>
  <si>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</si>
  <si>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</si>
  <si>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</si>
  <si>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</si>
  <si>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</si>
  <si>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</si>
  <si>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</si>
  <si>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</si>
  <si>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</si>
  <si>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</si>
  <si>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</si>
  <si>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</si>
  <si>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</si>
  <si>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</si>
  <si>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</si>
  <si>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</si>
  <si>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</si>
  <si>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</si>
  <si>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</si>
  <si>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</si>
  <si>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</si>
  <si>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Parks &amp; Recreation</t>
  </si>
  <si>
    <t>15</t>
  </si>
  <si>
    <t>Library</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</si>
  <si>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</si>
  <si>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</si>
  <si>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</si>
  <si>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</si>
  <si>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</si>
  <si>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</si>
  <si>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</si>
  <si>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</si>
  <si>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</si>
  <si>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</si>
  <si>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</si>
  <si>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</si>
  <si>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FIRE ALARM SYSTEMS</t>
  </si>
  <si>
    <t>01-13-8107-0 Wages - Part-Time</t>
  </si>
  <si>
    <t>01-17-8104-0 Wages - Other Full-Time</t>
  </si>
  <si>
    <t>Compost facility heating system</t>
  </si>
  <si>
    <t>31-10-8243-0 Heating Oil</t>
  </si>
  <si>
    <t>Diesel fuel for plant generators</t>
  </si>
  <si>
    <t>Insurance</t>
  </si>
  <si>
    <t>Part time employees</t>
  </si>
  <si>
    <t>32</t>
  </si>
  <si>
    <t>33</t>
  </si>
  <si>
    <t>Bandstand concerts</t>
  </si>
  <si>
    <t>Turkey Hill Bridge State</t>
  </si>
  <si>
    <t xml:space="preserve">  Office supplies </t>
  </si>
  <si>
    <t>Pearson Road Pumping Station</t>
  </si>
  <si>
    <t>01-07-8280-0 General Insurance</t>
  </si>
  <si>
    <t>YIELD TAX</t>
  </si>
  <si>
    <t>IN LIEU OF TAX</t>
  </si>
  <si>
    <t>EXCAVATION ACTIVITY TAX</t>
  </si>
  <si>
    <t>Security cards, station logs, business cards, and other forms</t>
  </si>
  <si>
    <t>01-05-8131-0 Health Insurance</t>
  </si>
  <si>
    <t>01-03-8104-0 Wages - Other Full-Time</t>
  </si>
  <si>
    <t>Light bulbs</t>
  </si>
  <si>
    <t>PARKS MAINTENANCE</t>
  </si>
  <si>
    <t>NH Municipal Management Association</t>
  </si>
  <si>
    <t>ICMA</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</si>
  <si>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</si>
  <si>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</si>
  <si>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</si>
  <si>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</si>
  <si>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</si>
  <si>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</si>
  <si>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</si>
  <si>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</si>
  <si>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</si>
  <si>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</si>
  <si>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</si>
  <si>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</si>
  <si>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</si>
  <si>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</si>
  <si>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</si>
  <si>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</si>
  <si>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Special Revenue (Other Self Supporting) Funds</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</si>
  <si>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</si>
  <si>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</si>
  <si>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</si>
  <si>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</si>
  <si>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</si>
  <si>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</si>
  <si>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</si>
  <si>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</si>
  <si>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</si>
  <si>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</si>
  <si>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</si>
  <si>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</si>
  <si>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</si>
  <si>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</si>
  <si>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</si>
  <si>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</si>
  <si>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</si>
  <si>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</si>
  <si>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</si>
  <si>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</si>
  <si>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</si>
  <si>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</si>
  <si>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</si>
  <si>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</si>
  <si>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</si>
  <si>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</si>
  <si>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</si>
  <si>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</si>
  <si>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</si>
  <si>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</si>
  <si>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CIVIL FORFEITURES</t>
  </si>
  <si>
    <t>CASH OVER &amp; SHORT</t>
  </si>
  <si>
    <t>01-03-8508-0 Operating Equipment</t>
  </si>
  <si>
    <t>Boot Allowance - Teamsters</t>
  </si>
  <si>
    <t>Boot Allowance - AFSCME</t>
  </si>
  <si>
    <t>CURRENT USE TAX INTEREST</t>
  </si>
  <si>
    <t>YIELD TAX INTEREST</t>
  </si>
  <si>
    <t>Highway Foreman</t>
  </si>
  <si>
    <t>Annual meeting</t>
  </si>
  <si>
    <t>Special cleaning</t>
  </si>
  <si>
    <t>Softball</t>
  </si>
  <si>
    <t>01-15-8244-0 Water</t>
  </si>
  <si>
    <t>01-15-8245-0 Sewer</t>
  </si>
  <si>
    <t>State certification requirements</t>
  </si>
  <si>
    <t>AUTO REGISTRATIONS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</si>
  <si>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</si>
  <si>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</si>
  <si>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</si>
  <si>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</si>
  <si>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</si>
  <si>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</si>
  <si>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</si>
  <si>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</si>
  <si>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</si>
  <si>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</si>
  <si>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</si>
  <si>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</si>
  <si>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</si>
  <si>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</si>
  <si>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</si>
  <si>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</si>
  <si>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</si>
  <si>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</si>
  <si>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</si>
  <si>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</si>
  <si>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</si>
  <si>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</si>
  <si>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</si>
  <si>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</si>
  <si>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</si>
  <si>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</si>
  <si>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</si>
  <si>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</si>
  <si>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</si>
  <si>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</si>
  <si>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</si>
  <si>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</si>
  <si>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</si>
  <si>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</si>
  <si>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</si>
  <si>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</si>
  <si>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</si>
  <si>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</si>
  <si>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01-06-8503-0 Vehicles</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</si>
  <si>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</si>
  <si>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</si>
  <si>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</si>
  <si>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</si>
  <si>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</si>
  <si>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</si>
  <si>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</si>
  <si>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</si>
  <si>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</si>
  <si>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</si>
  <si>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</si>
  <si>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</si>
  <si>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</si>
  <si>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</si>
  <si>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</si>
  <si>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</si>
  <si>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</si>
  <si>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</si>
  <si>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</si>
  <si>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</si>
  <si>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</si>
  <si>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</si>
  <si>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</si>
  <si>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</si>
  <si>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</si>
  <si>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</si>
  <si>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</si>
  <si>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</si>
  <si>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</si>
  <si>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</si>
  <si>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</si>
  <si>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</si>
  <si>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</si>
  <si>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</si>
  <si>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</si>
  <si>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</si>
  <si>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</si>
  <si>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Phase II treatment plant</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</si>
  <si>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</si>
  <si>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</si>
  <si>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</si>
  <si>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</si>
  <si>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</si>
  <si>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</si>
  <si>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</si>
  <si>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</si>
  <si>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</si>
  <si>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</si>
  <si>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</si>
  <si>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</si>
  <si>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</si>
  <si>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</si>
  <si>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</si>
  <si>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</si>
  <si>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</si>
  <si>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</si>
  <si>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</si>
  <si>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</si>
  <si>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</si>
  <si>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PERC TESTS</t>
  </si>
  <si>
    <t>01-15-8125-0 Social Security</t>
  </si>
  <si>
    <t>01-15-8128-0 Retirement</t>
  </si>
  <si>
    <t>State of NH weighmaster licenses</t>
  </si>
  <si>
    <t>01-08-8335-0 Maintenance-Communications Equip</t>
  </si>
  <si>
    <t>01-08-8341-0 Sand &amp; Salt</t>
  </si>
  <si>
    <t>01-25-8490-0 Prescriptions</t>
  </si>
  <si>
    <t>TRAFFIC DETAILS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</si>
  <si>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</si>
  <si>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</si>
  <si>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</si>
  <si>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</si>
  <si>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</si>
  <si>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</si>
  <si>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</si>
  <si>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</si>
  <si>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</si>
  <si>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</si>
  <si>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</si>
  <si>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Transfer from Cable Fund</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</si>
  <si>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</si>
  <si>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</si>
  <si>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</si>
  <si>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</si>
  <si>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</si>
  <si>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</si>
  <si>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</si>
  <si>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</si>
  <si>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Private Donation Fire</t>
  </si>
  <si>
    <t>Surplus - P.A.C.T. Fund</t>
  </si>
  <si>
    <t>P.A.C.T.</t>
  </si>
  <si>
    <t>P.A.C.T. GRANTS</t>
  </si>
  <si>
    <t>Firefighter Certifications and Training:</t>
  </si>
  <si>
    <t>01-16-8105-0 Overtime-Supervisory</t>
  </si>
  <si>
    <t>01-16-8111-0 Overtime - Other</t>
  </si>
  <si>
    <t>Mechanics</t>
  </si>
  <si>
    <t>01-16-8125-0 Social Security</t>
  </si>
  <si>
    <t>01-16-8128-0 Retirement</t>
  </si>
  <si>
    <t>GRAND TOTAL</t>
  </si>
  <si>
    <t>ASSESSING</t>
  </si>
  <si>
    <t>01-08-8220-0 Printing</t>
  </si>
  <si>
    <t>01-08-8241-0 Electricity</t>
  </si>
  <si>
    <t>FEDERAL &amp; STATE GRANTS</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</si>
  <si>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</si>
  <si>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</si>
  <si>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</si>
  <si>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</si>
  <si>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</si>
  <si>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</si>
  <si>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</si>
  <si>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</si>
  <si>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</si>
  <si>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</si>
  <si>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</si>
  <si>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</si>
  <si>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</si>
  <si>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</si>
  <si>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</si>
  <si>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</si>
  <si>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</si>
  <si>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</si>
  <si>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</si>
  <si>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</si>
  <si>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</si>
  <si>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</si>
  <si>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</si>
  <si>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</si>
  <si>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</si>
  <si>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</si>
  <si>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</si>
  <si>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</si>
  <si>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</si>
  <si>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</si>
  <si>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</si>
  <si>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</si>
  <si>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</si>
  <si>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</si>
  <si>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Department</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</si>
  <si>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</si>
  <si>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</si>
  <si>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</si>
  <si>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</si>
  <si>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</si>
  <si>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</si>
  <si>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</si>
  <si>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</si>
  <si>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</si>
  <si>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</si>
  <si>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</si>
  <si>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</si>
  <si>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</si>
  <si>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</si>
  <si>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</si>
  <si>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</si>
  <si>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</si>
  <si>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</si>
  <si>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</si>
  <si>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</si>
  <si>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</si>
  <si>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</si>
  <si>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</si>
  <si>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</si>
  <si>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</si>
  <si>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Sewer Interceptor</t>
  </si>
  <si>
    <t>School Crossing Guards</t>
  </si>
  <si>
    <t>01-04-8111-0 Overtime - Other</t>
  </si>
  <si>
    <t>01-04-8125-0 Social Security</t>
  </si>
  <si>
    <t>8106</t>
  </si>
  <si>
    <t>01-04-8128-0 Retirement</t>
  </si>
  <si>
    <t>Term life insurance</t>
  </si>
  <si>
    <t>Property donations</t>
  </si>
  <si>
    <t>Part-time:</t>
  </si>
  <si>
    <t>Union</t>
  </si>
  <si>
    <t>01-02-8128-0 Retirement</t>
  </si>
  <si>
    <t>05</t>
  </si>
  <si>
    <t>Communications</t>
  </si>
  <si>
    <t>07</t>
  </si>
  <si>
    <t>Public Works Administration</t>
  </si>
  <si>
    <t>08</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</si>
  <si>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</si>
  <si>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</si>
  <si>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</si>
  <si>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</si>
  <si>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</si>
  <si>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</si>
  <si>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</si>
  <si>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</si>
  <si>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</si>
  <si>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</si>
  <si>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</si>
  <si>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</si>
  <si>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</si>
  <si>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</si>
  <si>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</si>
  <si>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</si>
  <si>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</si>
  <si>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</si>
  <si>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</si>
  <si>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</si>
  <si>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</si>
  <si>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</si>
  <si>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</si>
  <si>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</si>
  <si>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</si>
  <si>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</si>
  <si>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</si>
  <si>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</si>
  <si>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</si>
  <si>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</si>
  <si>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</si>
  <si>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</si>
  <si>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</si>
  <si>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</si>
  <si>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</si>
  <si>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</si>
  <si>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</si>
  <si>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</si>
  <si>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</si>
  <si>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</si>
  <si>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</si>
  <si>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</si>
  <si>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</si>
  <si>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</si>
  <si>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</si>
  <si>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IMPACT FEES</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</si>
  <si>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</si>
  <si>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</si>
  <si>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</si>
  <si>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</si>
  <si>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</si>
  <si>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</si>
  <si>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</si>
  <si>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</si>
  <si>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</si>
  <si>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</si>
  <si>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</si>
  <si>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</si>
  <si>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</si>
  <si>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</si>
  <si>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</si>
  <si>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POLICE ALARM SYSTEM</t>
  </si>
  <si>
    <t>GRAVE OPENINGS</t>
  </si>
  <si>
    <t>01-13-8103-0 Wages - Supervisory</t>
  </si>
  <si>
    <t>01-01-8220-0 Printing</t>
  </si>
  <si>
    <t>Town Report</t>
  </si>
  <si>
    <t>01-17-8331-0 Maintenance-Machinery</t>
  </si>
  <si>
    <t>SWIMMING FACILITY LICENSE FEES</t>
  </si>
  <si>
    <t>Computer paper and supplies</t>
  </si>
  <si>
    <t>Other office supplies</t>
  </si>
  <si>
    <t>01-04-8203-0 Operating Supplies</t>
  </si>
  <si>
    <t>Photography supplies</t>
  </si>
  <si>
    <t>Veterans exemptions</t>
  </si>
  <si>
    <t>01-25-8280-0 General Insurance</t>
  </si>
  <si>
    <t>01-25-8300-0 Travel &amp; Meetings</t>
  </si>
  <si>
    <t>Teaching and promotional materials</t>
  </si>
  <si>
    <t>01-02-8230-0 Postage</t>
  </si>
  <si>
    <t>RECREATION PROGRAMS</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</si>
  <si>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</si>
  <si>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</si>
  <si>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</si>
  <si>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</si>
  <si>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</si>
  <si>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</si>
  <si>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</si>
  <si>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</si>
  <si>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</si>
  <si>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</si>
  <si>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</si>
  <si>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</si>
  <si>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</si>
  <si>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</si>
  <si>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</si>
  <si>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</si>
  <si>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</si>
  <si>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</si>
  <si>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</si>
  <si>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</si>
  <si>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</si>
  <si>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</si>
  <si>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</si>
  <si>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 xml:space="preserve">OTHER CHARGES </t>
  </si>
  <si>
    <t>01-09-8352-0 Education &amp; Training</t>
  </si>
  <si>
    <t>01-09-8359-0 Other Outside Services</t>
  </si>
  <si>
    <t>01-09-8388-0 Special Waste Disposal</t>
  </si>
  <si>
    <t>01-17-8136-0 Unemployment Compensation</t>
  </si>
  <si>
    <t>01-07-8260-0 Telephone</t>
  </si>
  <si>
    <t>Continuing education</t>
  </si>
  <si>
    <t>2012-13</t>
  </si>
  <si>
    <t xml:space="preserve">Temp - Part-time Tax </t>
  </si>
  <si>
    <t>01-02-8103-0 Wages - Field Personnel</t>
  </si>
  <si>
    <t>Assessing Coordinator</t>
  </si>
  <si>
    <t>DRA intensive training courses</t>
  </si>
  <si>
    <t>01-08-8230-0 Postage</t>
  </si>
  <si>
    <t>SEWER RENTS-RESIDENTIAL</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</si>
  <si>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</si>
  <si>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</si>
  <si>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</si>
  <si>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</si>
  <si>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</si>
  <si>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</si>
  <si>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</si>
  <si>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</si>
  <si>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</si>
  <si>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</si>
  <si>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</si>
  <si>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</si>
  <si>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</si>
  <si>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</si>
  <si>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</si>
  <si>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</si>
  <si>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</si>
  <si>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</si>
  <si>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</si>
  <si>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</si>
  <si>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</si>
  <si>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</si>
  <si>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</si>
  <si>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</si>
  <si>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</si>
  <si>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</si>
  <si>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</si>
  <si>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Sewer Inspector</t>
  </si>
  <si>
    <t>and holidays and on call</t>
  </si>
  <si>
    <t>Compost facility (meter charge 1")</t>
  </si>
  <si>
    <t>On Call / Per-Diem EMS Attendant Protective Clothing</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</si>
  <si>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</si>
  <si>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</si>
  <si>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</si>
  <si>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</si>
  <si>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</si>
  <si>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DMV Training</t>
  </si>
  <si>
    <t>ACIM (A Child Is Missing Alert)</t>
  </si>
  <si>
    <t>General Building Renovations</t>
  </si>
  <si>
    <t>01-16-8352-0 Education &amp; Training</t>
  </si>
  <si>
    <t>Milfoil</t>
  </si>
  <si>
    <t xml:space="preserve">Survey supplies, stakes, nails, marking paint and </t>
  </si>
  <si>
    <t>Septage</t>
  </si>
  <si>
    <t xml:space="preserve">Dewatering </t>
  </si>
  <si>
    <t>bond</t>
  </si>
  <si>
    <t>Surplus - WWTF Bond</t>
  </si>
  <si>
    <t>Virtual Town Hall</t>
  </si>
  <si>
    <t>Heat (Gas)</t>
  </si>
  <si>
    <t>Post Office (PO) Box</t>
  </si>
  <si>
    <t>Telephone &amp; Internet</t>
  </si>
  <si>
    <t xml:space="preserve">water and sewer </t>
  </si>
  <si>
    <t>TIMBER TAXES</t>
  </si>
  <si>
    <t>CHARGES FOR SERVICES</t>
  </si>
  <si>
    <t>FRANCHISE FEES TO GF</t>
  </si>
  <si>
    <t>AMBULANCE REVENUE</t>
  </si>
  <si>
    <t>SOLID WASTE REVENUE</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</si>
  <si>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</si>
  <si>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</si>
  <si>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</si>
  <si>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</si>
  <si>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</si>
  <si>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</si>
  <si>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</si>
  <si>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</si>
  <si>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</si>
  <si>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</si>
  <si>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</si>
  <si>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</si>
  <si>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</si>
  <si>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</si>
  <si>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</si>
  <si>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</si>
  <si>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Assistant Chief  Support Services</t>
  </si>
  <si>
    <t>Paramedic In-house Educational Shift Class Coverage</t>
  </si>
  <si>
    <t>Emergency Call Back</t>
  </si>
  <si>
    <t>Holidays - 10 holidays X 24 hr. X 2 personnel</t>
  </si>
  <si>
    <t>CPR AED Supplies</t>
  </si>
  <si>
    <t>Cost Ea.</t>
  </si>
  <si>
    <t xml:space="preserve"> wireless for laptops</t>
  </si>
  <si>
    <t xml:space="preserve">  Supervisors of Checklist - 600 hr X $10</t>
  </si>
  <si>
    <t>Total wages</t>
  </si>
  <si>
    <t>Director allocation (revenue transfer to General Fund)</t>
  </si>
  <si>
    <t>T-shirts</t>
  </si>
  <si>
    <t>Watson Park</t>
  </si>
  <si>
    <t>Fourth of July Celebration - Parade &amp; Fun Day</t>
  </si>
  <si>
    <t>Winter carnival (Port-a-potty, activity items)</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</si>
  <si>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</si>
  <si>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</si>
  <si>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</si>
  <si>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</si>
  <si>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</si>
  <si>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</si>
  <si>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</si>
  <si>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</si>
  <si>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</si>
  <si>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</si>
  <si>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</si>
  <si>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</si>
  <si>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Maintenance of lawn mowers, bagger for mower, snowblowers and vacuum cleaners</t>
  </si>
  <si>
    <t>log books and miscellaneous supplies</t>
  </si>
  <si>
    <t>Skid steer, loader, forklift and truck</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</si>
  <si>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</si>
  <si>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</si>
  <si>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</si>
  <si>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</si>
  <si>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</si>
  <si>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</si>
  <si>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</si>
  <si>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</si>
  <si>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</si>
  <si>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</si>
  <si>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</si>
  <si>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</si>
  <si>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Uniform service-Part Time</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</si>
  <si>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</si>
  <si>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</si>
  <si>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</si>
  <si>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</si>
  <si>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</si>
  <si>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</si>
  <si>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</si>
  <si>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</si>
  <si>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</si>
  <si>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</si>
  <si>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</si>
  <si>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</si>
  <si>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</si>
  <si>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</si>
  <si>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</si>
  <si>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</si>
  <si>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</si>
  <si>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</si>
  <si>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</si>
  <si>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</si>
  <si>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</si>
  <si>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Police details</t>
  </si>
  <si>
    <t>Volunteer supplies, Public Work Week outreach and MS4 education</t>
  </si>
  <si>
    <t>Traffic Light Preemption</t>
  </si>
  <si>
    <t>Excess Sick Leave Purchase</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</si>
  <si>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</si>
  <si>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</si>
  <si>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</si>
  <si>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</si>
  <si>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</si>
  <si>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</si>
  <si>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</si>
  <si>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</si>
  <si>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GIS</t>
  </si>
  <si>
    <t>WWTF BONDS</t>
  </si>
  <si>
    <t>Total CRF</t>
  </si>
  <si>
    <t>33-33-8363-0 Fire Protection Area</t>
  </si>
  <si>
    <t>OTHER LICENSE, PERMITS &amp; FEES</t>
  </si>
  <si>
    <t>OTHER STATE REVENUES</t>
  </si>
  <si>
    <t>STATE BRIDGE PROGRAM</t>
  </si>
  <si>
    <t>INSURANCE REBATES</t>
  </si>
  <si>
    <t>BUILDING RENTAL (BILLBOARD)</t>
  </si>
  <si>
    <t>OTHER MISC. REVENUES</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</si>
  <si>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</si>
  <si>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</si>
  <si>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</si>
  <si>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</si>
  <si>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</si>
  <si>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</si>
  <si>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 xml:space="preserve"> Balance </t>
  </si>
  <si>
    <t>Registration Software for Recreation Programs</t>
  </si>
  <si>
    <t xml:space="preserve">Credit Card Transaction Fees </t>
  </si>
  <si>
    <t>Compost</t>
  </si>
  <si>
    <t>Phase II</t>
  </si>
  <si>
    <t>Phase II and Compost</t>
  </si>
  <si>
    <t xml:space="preserve">   Less revenues</t>
  </si>
  <si>
    <t>Chairs-Replacement (Dispatch Console)</t>
  </si>
  <si>
    <t>Camera / Recorder - Detectives</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</si>
  <si>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</si>
  <si>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</si>
  <si>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</si>
  <si>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</si>
  <si>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</si>
  <si>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</si>
  <si>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</si>
  <si>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</si>
  <si>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</si>
  <si>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</si>
  <si>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</si>
  <si>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Sewer Pump Maintenance agreement  -Police</t>
  </si>
  <si>
    <t>2017-18</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</si>
  <si>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</si>
  <si>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</si>
  <si>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</si>
  <si>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</si>
  <si>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</si>
  <si>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</si>
  <si>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</si>
  <si>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</si>
  <si>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</si>
  <si>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</si>
  <si>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</si>
  <si>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</si>
  <si>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</si>
  <si>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Wing Rate</t>
  </si>
  <si>
    <t>and brochures and meals (over 14 hours of work during an emergency)</t>
  </si>
  <si>
    <t>Full-time employees - NEPBA 12</t>
  </si>
  <si>
    <t>Employee cost sharing - NEPBA 12</t>
  </si>
  <si>
    <t>Full-time employees - AFSCME 3657</t>
  </si>
  <si>
    <t>Full-time employees - NEPBA 112</t>
  </si>
  <si>
    <t>Fund Balance to offset Taxes</t>
  </si>
  <si>
    <t>01-09-8503-0 Vehicles</t>
  </si>
  <si>
    <t>01-17-8359-0 Other Outside Services</t>
  </si>
  <si>
    <t>8104 - Program Manager</t>
  </si>
  <si>
    <t>Wasserman Park facilities and outdoor lighting</t>
  </si>
  <si>
    <t>AFSCME 3657</t>
  </si>
  <si>
    <t>Operator I</t>
  </si>
  <si>
    <t>Operator II</t>
  </si>
  <si>
    <t>Maintainer I</t>
  </si>
  <si>
    <t>89-89-8375-0 Day Camp</t>
  </si>
  <si>
    <t xml:space="preserve">Uniforms </t>
  </si>
  <si>
    <t>Supplies</t>
  </si>
  <si>
    <t>Sibling Discount</t>
  </si>
  <si>
    <t>School Vacation Week Programs (3 weeks)</t>
  </si>
  <si>
    <t>Back ground checks  (4 x $25.00 each)</t>
  </si>
  <si>
    <t xml:space="preserve">Operating Expense - Food </t>
  </si>
  <si>
    <t>20-13-8375-0 Day Camp Moved to revolving fund</t>
  </si>
  <si>
    <t>TOTAL</t>
  </si>
  <si>
    <t>Access Control / Security System Maintenance (PMI) Agreement</t>
  </si>
  <si>
    <t>Criminal  &amp; Driving records checks</t>
  </si>
  <si>
    <t>Educational Incentive</t>
  </si>
  <si>
    <t>Museum Passes ( Library Insight)</t>
  </si>
  <si>
    <t>EMS Training Requirements</t>
  </si>
  <si>
    <t>Auto Pulse Bands</t>
  </si>
  <si>
    <t>EZIO Needles</t>
  </si>
  <si>
    <t>Custodian Town Hall - Nights</t>
  </si>
  <si>
    <t>Adult Community Center (General Maintenance)</t>
  </si>
  <si>
    <t>Maintenance of B&amp;G Vehicles</t>
  </si>
  <si>
    <t xml:space="preserve">Fleet management license agreement </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</si>
  <si>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</si>
  <si>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</si>
  <si>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</si>
  <si>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</si>
  <si>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</si>
  <si>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</si>
  <si>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</si>
  <si>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</si>
  <si>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</si>
  <si>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</si>
  <si>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</si>
  <si>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</si>
  <si>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</si>
  <si>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</si>
  <si>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</si>
  <si>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</si>
  <si>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</si>
  <si>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</si>
  <si>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</si>
  <si>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</si>
  <si>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</si>
  <si>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</si>
  <si>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</si>
  <si>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</si>
  <si>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</si>
  <si>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</si>
  <si>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Surplus - Road Improvements</t>
  </si>
  <si>
    <t xml:space="preserve"> Road Improvement Fund</t>
  </si>
  <si>
    <t>FEDERAL GRANTS - BRIDGES/SIDEWALKS</t>
  </si>
  <si>
    <t xml:space="preserve">ROAD IMPROVEMENT FUND </t>
  </si>
  <si>
    <t>Total GENERAL FUND less Grant</t>
  </si>
  <si>
    <t xml:space="preserve">Total revenue </t>
  </si>
  <si>
    <t>(5021 Line 1; 7536 Line 3; 8456 Fire Alarm; 2519 &amp; 7537 DSL)</t>
  </si>
  <si>
    <t>General Fund Totals</t>
  </si>
  <si>
    <t xml:space="preserve">01 - GENERAL GOVERNMENT </t>
  </si>
  <si>
    <t>08 - HIGHWAY</t>
  </si>
  <si>
    <t>Total General Fund Revenue</t>
  </si>
  <si>
    <t>Fund Balance</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</si>
  <si>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</si>
  <si>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</si>
  <si>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</si>
  <si>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</si>
  <si>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</si>
  <si>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</si>
  <si>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</si>
  <si>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</si>
  <si>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</si>
  <si>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</si>
  <si>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</si>
  <si>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</si>
  <si>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</si>
  <si>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</si>
  <si>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</si>
  <si>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</si>
  <si>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</si>
  <si>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</si>
  <si>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</si>
  <si>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</si>
  <si>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</si>
  <si>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Waste Water</t>
  </si>
  <si>
    <t>Media</t>
  </si>
  <si>
    <t>Fire Protection</t>
  </si>
  <si>
    <t>Self Supporting Funds</t>
  </si>
  <si>
    <t>Revenue Budget Summary</t>
  </si>
  <si>
    <t>Total Waste Water Fund Revenue</t>
  </si>
  <si>
    <t>Total Self Supporting Fund</t>
  </si>
  <si>
    <t>Grand Total All Revenue Funds</t>
  </si>
  <si>
    <t>Total Fire Protection Fund</t>
  </si>
  <si>
    <t>Total Media Fund</t>
  </si>
  <si>
    <t>General Fund - cont</t>
  </si>
  <si>
    <t>Waste Water Total</t>
  </si>
  <si>
    <t>Media Fund Total</t>
  </si>
  <si>
    <t>Media Fund</t>
  </si>
  <si>
    <t>Self Supporting Totals</t>
  </si>
  <si>
    <t>Fire Protection Total</t>
  </si>
  <si>
    <t>Parks &amp; Recreation Revolving Fund</t>
  </si>
  <si>
    <t>Grand Total All FUNDS</t>
  </si>
  <si>
    <t xml:space="preserve">Animal Control Officer </t>
  </si>
  <si>
    <t>Fuction Hall (propane)</t>
  </si>
  <si>
    <t>Wage Adjustment</t>
  </si>
  <si>
    <t>32-32-8143-0 EMPLOYEE INCENTIVES/Raises</t>
  </si>
  <si>
    <t>Misc.</t>
  </si>
  <si>
    <t>Capital Project  Fund</t>
  </si>
  <si>
    <t>01-01-8128-0 Retirement</t>
  </si>
  <si>
    <t>2018-19</t>
  </si>
  <si>
    <t>Highway Facility Project Bond</t>
  </si>
  <si>
    <t>01-07-8111-0 Overtime - Other</t>
  </si>
  <si>
    <t>01-21-8111-0 Overtime - Other</t>
  </si>
  <si>
    <t>31-10-8502-0 Buildings</t>
  </si>
  <si>
    <t>31-10-8505-0 Infrastructure</t>
  </si>
  <si>
    <t>32-32-8502-0 Building Improvements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</si>
  <si>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</si>
  <si>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</si>
  <si>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</si>
  <si>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</si>
  <si>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</si>
  <si>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</si>
  <si>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</si>
  <si>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</si>
  <si>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</si>
  <si>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45-45</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</si>
  <si>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</si>
  <si>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</si>
  <si>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</si>
  <si>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</si>
  <si>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</si>
  <si>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</si>
  <si>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</si>
  <si>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</si>
  <si>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</si>
  <si>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</si>
  <si>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</si>
  <si>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</si>
  <si>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</si>
  <si>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</si>
  <si>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</si>
  <si>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</si>
  <si>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</si>
  <si>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Seasonal activities - Movies in the Park</t>
  </si>
  <si>
    <t>Back ground checks  (5 x $25.00 each)</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</si>
  <si>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</si>
  <si>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</si>
  <si>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</si>
  <si>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</si>
  <si>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</si>
  <si>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</si>
  <si>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</si>
  <si>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</si>
  <si>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</si>
  <si>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</si>
  <si>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</si>
  <si>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</si>
  <si>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</si>
  <si>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</si>
  <si>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</si>
  <si>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        Sewer/Pretreatment Program/Lab/Collections System</t>
  </si>
  <si>
    <t>1-Year round, part time maintainer (24 hours/week)</t>
  </si>
  <si>
    <t xml:space="preserve">City of Nashua </t>
  </si>
  <si>
    <t xml:space="preserve">Trucks, loaders and sewer cleaner </t>
  </si>
  <si>
    <t>Summer Maintainer T-shirts and safety boot allowance</t>
  </si>
  <si>
    <t>All-weather picnic tables (long lasting) (Replace 5 per year)</t>
  </si>
  <si>
    <t>Irrigation maintenance - (Vets, Reeds, Bise and Bishop)</t>
  </si>
  <si>
    <t>NE Resource Recovery Association</t>
  </si>
  <si>
    <t>Maintenenace software for Scale</t>
  </si>
  <si>
    <t>Chargers and batteries for vehicle and portable radios</t>
  </si>
  <si>
    <t>01-21-8503-0 Vehicle</t>
  </si>
  <si>
    <t>Pool Car</t>
  </si>
  <si>
    <t>45 - Capital Project Fund</t>
  </si>
  <si>
    <t xml:space="preserve">  10 holidays X 10 hours X 9 officers = 900 hours</t>
  </si>
  <si>
    <t>Unemployment compensation - .18%</t>
  </si>
  <si>
    <t>Last Rest Cemetery</t>
  </si>
  <si>
    <t>Milfoil Treatment Expendable trust</t>
  </si>
  <si>
    <t>8107 - Part Time &gt; $14,000</t>
  </si>
  <si>
    <t>8107 - Part Time &lt; $14,000</t>
  </si>
  <si>
    <t>8107 &gt; $14,000</t>
  </si>
  <si>
    <t>8107 - Part Time &gt;$14,000</t>
  </si>
  <si>
    <t>SPO2 Adult/Pediatric</t>
  </si>
  <si>
    <t>International Association Chief of Police (IACP) Model Policy update and subscription service</t>
  </si>
  <si>
    <t>Highway Garage Bond</t>
  </si>
  <si>
    <r>
      <t xml:space="preserve">01-25-8491-0 Other </t>
    </r>
    <r>
      <rPr>
        <sz val="8"/>
        <rFont val="Times New Roman"/>
        <family val="1"/>
      </rPr>
      <t>(property taxes, sewer, water, and personal maintenance)</t>
    </r>
  </si>
  <si>
    <t>Asst Director Waste Water</t>
  </si>
  <si>
    <t>Laptops for patrol vehicles</t>
  </si>
  <si>
    <t>Crossing Guards</t>
  </si>
  <si>
    <t>Pearson Rd. / Reeds Ferry School Ball field</t>
  </si>
  <si>
    <t>Turkey Hill &amp; Martel</t>
  </si>
  <si>
    <t>Matthew Thornton Room Cameras and Equipment</t>
  </si>
  <si>
    <t>8101 - Medicare only</t>
  </si>
  <si>
    <t>8101 - exempt</t>
  </si>
  <si>
    <t>8107 Other</t>
  </si>
  <si>
    <t>2019-20</t>
  </si>
  <si>
    <t>01-01-8502-0 Building Improvements</t>
  </si>
  <si>
    <t>01-09-8460-0 Miscellaneous Expenses</t>
  </si>
  <si>
    <t>01-17-8203-0 Operating Supplies</t>
  </si>
  <si>
    <t>01-17-8212-0 Equipment Rental</t>
  </si>
  <si>
    <t>01-24-8460-0 Misc Operating Expenses</t>
  </si>
  <si>
    <t>31-10-8220-0 Printing</t>
  </si>
  <si>
    <t>45-45-8505-0 Infrastructure</t>
  </si>
  <si>
    <t>Workers compensation - 0.15%</t>
  </si>
  <si>
    <t xml:space="preserve">Pump station monitoring </t>
  </si>
  <si>
    <t>Comcast</t>
  </si>
  <si>
    <t>Liability insurance allocation</t>
  </si>
  <si>
    <t>Modems</t>
  </si>
  <si>
    <t>Detectives Secretary</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</si>
  <si>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</si>
  <si>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</si>
  <si>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</si>
  <si>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</si>
  <si>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</si>
  <si>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</si>
  <si>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</si>
  <si>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</si>
  <si>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</si>
  <si>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</si>
  <si>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</si>
  <si>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</si>
  <si>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</si>
  <si>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</si>
  <si>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</si>
  <si>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</si>
  <si>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</si>
  <si>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 xml:space="preserve">RDT Drum  - </t>
  </si>
  <si>
    <t>Professional services - permit renewals/compliance</t>
  </si>
  <si>
    <t>Plumber Services</t>
  </si>
  <si>
    <t>Electrician Services</t>
  </si>
  <si>
    <t>Door/Security Maintenance</t>
  </si>
  <si>
    <t>Irrigation Maintenance</t>
  </si>
  <si>
    <t>Repairs to Gazebo at Abbie Griffin Park</t>
  </si>
  <si>
    <t>Maintenance Supplies</t>
  </si>
  <si>
    <t>safety supplies/PPE</t>
  </si>
  <si>
    <t>GIS consultant support / Vueworks</t>
  </si>
  <si>
    <t>Stationery, plans, maps, business cards and forms, Door Hangers</t>
  </si>
  <si>
    <t>Schedule Anywhere</t>
  </si>
  <si>
    <t xml:space="preserve">Wasserman Park Function Hall </t>
  </si>
  <si>
    <t>89-89-8375-0 Day Camp - 9 weeks</t>
  </si>
  <si>
    <t>Education &amp; training - ACA conference, Staff Training Costs</t>
  </si>
  <si>
    <t>Total Expenses</t>
  </si>
  <si>
    <t>Counselors  - 40 hrs/wk x 3 wks x 3 employees</t>
  </si>
  <si>
    <t xml:space="preserve">Cook  - 20 hrs/wk x 3 wks </t>
  </si>
  <si>
    <t>Wilderness Medical Training Courses</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</si>
  <si>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</si>
  <si>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</si>
  <si>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</si>
  <si>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</si>
  <si>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</si>
  <si>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</si>
  <si>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</si>
  <si>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</si>
  <si>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</si>
  <si>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</si>
  <si>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</si>
  <si>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Media Staff software</t>
  </si>
  <si>
    <t>Cablecast and local head end equipment</t>
  </si>
  <si>
    <t>Computers/RMS</t>
  </si>
  <si>
    <t>01-06-8204-0 Uniforms, Personal Protective Clothing</t>
  </si>
  <si>
    <t>01-21-8510-0 Transfer To GIS CRF</t>
  </si>
  <si>
    <t>SIU Overtime</t>
  </si>
  <si>
    <t>Custodian - Full-time</t>
  </si>
  <si>
    <t>Water analysis re: industrial pretreatment program(PFAS GenX)</t>
  </si>
  <si>
    <t xml:space="preserve">Town Hall (east &amp; west), Ambulance Garage building, </t>
  </si>
  <si>
    <t>CRF Deposits WWTF</t>
  </si>
  <si>
    <t>CRF Deposits GF</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</si>
  <si>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</si>
  <si>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</si>
  <si>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</si>
  <si>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</si>
  <si>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</si>
  <si>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</si>
  <si>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</si>
  <si>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</si>
  <si>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</si>
  <si>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2020-21</t>
  </si>
  <si>
    <t>Overtime - other</t>
  </si>
  <si>
    <t>01-05-8300-0 Travel &amp; Meetings</t>
  </si>
  <si>
    <t>01-07-8204 Uniforms</t>
  </si>
  <si>
    <t>32-32-8111-0 Overtime - Other</t>
  </si>
  <si>
    <t>Radio voting system - phone lines - (Consolidated Communications)</t>
  </si>
  <si>
    <t>Vehicle storage facility (old garage)</t>
  </si>
  <si>
    <t>Ipad Pro</t>
  </si>
  <si>
    <t>Scale House</t>
  </si>
  <si>
    <t>Band Stand</t>
  </si>
  <si>
    <t>Town Hall (east &amp; west),</t>
  </si>
  <si>
    <t>Ambulance Garage building</t>
  </si>
  <si>
    <t>Incinerator Building</t>
  </si>
  <si>
    <t>Chlorine Building</t>
  </si>
  <si>
    <t>BOT-L-GAS</t>
  </si>
  <si>
    <t>Pager Admin Fee</t>
  </si>
  <si>
    <t>Police Record Clerk</t>
  </si>
  <si>
    <t>Program Manager (50/50 GF and Revolving Fund)</t>
  </si>
  <si>
    <t>Projects</t>
  </si>
  <si>
    <t>Wasserman Park Tennis Court Resurfacing</t>
  </si>
  <si>
    <t xml:space="preserve">8107- Maintenance </t>
  </si>
  <si>
    <t>8103- Parks &amp; Recreation Director</t>
  </si>
  <si>
    <t>Program Supplies (Sports equipment, Arts &amp; Crafts, Radios, Equipment, etc)</t>
  </si>
  <si>
    <t>Advertising/Marketing</t>
  </si>
  <si>
    <t>Rec Desk - Registration Software Allocation</t>
  </si>
  <si>
    <t>Certified mail, reg mail and shipping</t>
  </si>
  <si>
    <t>Computers 3 work stations</t>
  </si>
  <si>
    <t>Seminars</t>
  </si>
  <si>
    <t>01-05-8504-0 Office Equipment</t>
  </si>
  <si>
    <t>computer replacement</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</si>
  <si>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</si>
  <si>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</si>
  <si>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</si>
  <si>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</si>
  <si>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</si>
  <si>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</si>
  <si>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</si>
  <si>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 Hydrant and scum chamber equipment</t>
  </si>
  <si>
    <t>Replacement of Gear Boxes</t>
  </si>
  <si>
    <t>Maintenance of compost screener</t>
  </si>
  <si>
    <t>Manhole cover replacement</t>
  </si>
  <si>
    <t>Recycling Building</t>
  </si>
  <si>
    <t>Point of Entry Treatment System Maintenance (3)</t>
  </si>
  <si>
    <t>Install/Remove Netting at Twardowsky</t>
  </si>
  <si>
    <t>Fuel tank tightness tests</t>
  </si>
  <si>
    <t>Materials testing</t>
  </si>
  <si>
    <t>Surveillance System</t>
  </si>
  <si>
    <t>Exmark Mower - Replacement of 1 mower</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</si>
  <si>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</si>
  <si>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</si>
  <si>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</si>
  <si>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</si>
  <si>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</si>
  <si>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</si>
  <si>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</si>
  <si>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LED Upgrade of Town Hall buildings, Ambulance Garage, and</t>
  </si>
  <si>
    <t xml:space="preserve">     Abbie Griffin Park</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</si>
  <si>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</si>
  <si>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</si>
  <si>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</si>
  <si>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</si>
  <si>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</si>
  <si>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</si>
  <si>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</si>
  <si>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</si>
  <si>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</si>
  <si>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Bond/ highway garage</t>
  </si>
  <si>
    <t>HVAC maintenance</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</si>
  <si>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</si>
  <si>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</si>
  <si>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</si>
  <si>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</si>
  <si>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</si>
  <si>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Librarian I - Reference </t>
  </si>
  <si>
    <t xml:space="preserve">  Turnover (average $4870) - 1</t>
  </si>
  <si>
    <t>Asst Chief Operator</t>
  </si>
  <si>
    <t>WWTF Bond Phase III &amp; IV</t>
  </si>
  <si>
    <t>Shift Differential</t>
  </si>
  <si>
    <t>Shift Diferential</t>
  </si>
  <si>
    <t>2021-22</t>
  </si>
  <si>
    <t>Verizon Wireless modem</t>
  </si>
  <si>
    <t>0000</t>
  </si>
  <si>
    <t>COVID Reimbursement</t>
  </si>
  <si>
    <t xml:space="preserve">Environmental Coordinator </t>
  </si>
  <si>
    <t>Stormwater Foreman</t>
  </si>
  <si>
    <t>Asst. Tech Coordinator</t>
  </si>
  <si>
    <t>Time Clock System</t>
  </si>
  <si>
    <t xml:space="preserve">  Employees - NHRS Group II - 20 years of service - 4</t>
  </si>
  <si>
    <t xml:space="preserve">  Employees - NHRS Group I - age 60  - 0</t>
  </si>
  <si>
    <t xml:space="preserve">Director   </t>
  </si>
  <si>
    <t>Head of Adult Services</t>
  </si>
  <si>
    <t xml:space="preserve">Office Manager - Administration  </t>
  </si>
  <si>
    <t xml:space="preserve">  Library Assistant I - Youth Services  </t>
  </si>
  <si>
    <t xml:space="preserve">  Aide I - Youth Services </t>
  </si>
  <si>
    <t xml:space="preserve">  Aide I -Youth Services  </t>
  </si>
  <si>
    <t xml:space="preserve">  Page/Aide - Children's Room  </t>
  </si>
  <si>
    <t>GMILCS Web Dewey</t>
  </si>
  <si>
    <t>GMILCS Van</t>
  </si>
  <si>
    <t>Hot spot fees</t>
  </si>
  <si>
    <t xml:space="preserve"> Teen materials (incl. graphic &amp; manga)</t>
  </si>
  <si>
    <t xml:space="preserve">Adult Graphic Novels </t>
  </si>
  <si>
    <t xml:space="preserve">Databases  </t>
  </si>
  <si>
    <t>kanopy (streaming video)</t>
  </si>
  <si>
    <t xml:space="preserve">Hoopla </t>
  </si>
  <si>
    <t>Personal Protective Equipment</t>
  </si>
  <si>
    <t>Leads Online</t>
  </si>
  <si>
    <t>Rape Aggression Defense Instrutor</t>
  </si>
  <si>
    <t xml:space="preserve">Power DMS </t>
  </si>
  <si>
    <t>K-9 Insurance`</t>
  </si>
  <si>
    <t xml:space="preserve">  Printing</t>
  </si>
  <si>
    <t>Wasserman Park - Dock Replacement</t>
  </si>
  <si>
    <t>Wasserman Park - Office ADA Accessibility &amp; Roof</t>
  </si>
  <si>
    <t>Harbor Care (Transitional Housing for Mental Health, HIV &amp; Substance Misue Treatment)</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</si>
  <si>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</si>
  <si>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</si>
  <si>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</si>
  <si>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</si>
  <si>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</si>
  <si>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</si>
  <si>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</si>
  <si>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</si>
  <si>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</si>
  <si>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</si>
  <si>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</si>
  <si>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</si>
  <si>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</si>
  <si>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</si>
  <si>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</si>
  <si>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</si>
  <si>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</si>
  <si>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</si>
  <si>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</si>
  <si>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</si>
  <si>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</si>
  <si>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</si>
  <si>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</si>
  <si>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</si>
  <si>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</si>
  <si>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</si>
  <si>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</si>
  <si>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</si>
  <si>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</si>
  <si>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</si>
  <si>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</si>
  <si>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</si>
  <si>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</si>
  <si>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</si>
  <si>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</si>
  <si>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</si>
  <si>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</si>
  <si>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</si>
  <si>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</si>
  <si>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</si>
  <si>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</si>
  <si>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</si>
  <si>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</si>
  <si>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</si>
  <si>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</si>
  <si>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</si>
  <si>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</si>
  <si>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</si>
  <si>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</si>
  <si>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</si>
  <si>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</si>
  <si>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</si>
  <si>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</si>
  <si>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</si>
  <si>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</si>
  <si>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</si>
  <si>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</si>
  <si>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</si>
  <si>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</si>
  <si>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</si>
  <si>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</si>
  <si>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</si>
  <si>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</si>
  <si>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</si>
  <si>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</si>
  <si>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</si>
  <si>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</si>
  <si>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</si>
  <si>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</si>
  <si>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Outfall testing, Stormwater meetings</t>
  </si>
  <si>
    <t>ID Wear, safety footwear</t>
  </si>
  <si>
    <t>Vehicle storage facility (old garage) &amp; Salt Shed</t>
  </si>
  <si>
    <t xml:space="preserve">  Signage and wood stock to make repairs</t>
  </si>
  <si>
    <t>APWAPaver, Iworq, ArcView, fuel software)</t>
  </si>
  <si>
    <t xml:space="preserve">  Maintenance of existing lights</t>
  </si>
  <si>
    <t>20 hr/wk</t>
  </si>
  <si>
    <t>Propane tanks for forklift</t>
  </si>
  <si>
    <t>Propane fuel: forklift</t>
  </si>
  <si>
    <t>Pressure Wash Buildings</t>
  </si>
  <si>
    <t>Waste Oil</t>
  </si>
  <si>
    <t>Misc. Training Courses</t>
  </si>
  <si>
    <t xml:space="preserve">Rubber boots, gloves and safety items - COVID Cost Increases are not reflected </t>
  </si>
  <si>
    <t>State Agency permit fees (lab, air, compost, scale, hazwaste) - increase to air fee</t>
  </si>
  <si>
    <t>Polymer for screw press</t>
  </si>
  <si>
    <t>Compost facility equipment maintenance (includes agitators)</t>
  </si>
  <si>
    <t xml:space="preserve">Operator 10 Plus Premium Support </t>
  </si>
  <si>
    <t>Part-time Summer Maintainer</t>
  </si>
  <si>
    <t xml:space="preserve">  Aide I - Circulation </t>
  </si>
  <si>
    <t xml:space="preserve">  Aide I - Circulation  </t>
  </si>
  <si>
    <t>Online SRP Tracking - all (Beanstack) 3 yr contract @ 1020/yr</t>
  </si>
  <si>
    <t>Full-time employees -  Union</t>
  </si>
  <si>
    <t>COVID Reimbursements</t>
  </si>
  <si>
    <t xml:space="preserve">General Govt. Part-time </t>
  </si>
  <si>
    <t>2022-23</t>
  </si>
  <si>
    <t>01-03-8503-0  Vehicles</t>
  </si>
  <si>
    <t>01-08-8440-0 Cemetery Maintenance</t>
  </si>
  <si>
    <t>01-08-8506-0 Communications Equipment</t>
  </si>
  <si>
    <t>01-09-8350-0 Material Handling</t>
  </si>
  <si>
    <t>01-13-8370-0 275th Anniversary Celebration</t>
  </si>
  <si>
    <t>01-15-8460-0 Misc Expense</t>
  </si>
  <si>
    <t>01-17-8352-0 Education &amp; Training</t>
  </si>
  <si>
    <t>01-17-8508-0 Operating Equipment</t>
  </si>
  <si>
    <t>31-10-8503-0 Vehicles</t>
  </si>
  <si>
    <t>MEALS &amp; ROOMS TAX</t>
  </si>
  <si>
    <t xml:space="preserve">  Turnover (average $2500) - 12</t>
  </si>
  <si>
    <t>Finance Director</t>
  </si>
  <si>
    <t>Patrolmen</t>
  </si>
  <si>
    <t>Comcast charges</t>
  </si>
  <si>
    <t>Cellular telephones - (5 Data / 3 service)</t>
  </si>
  <si>
    <t>Cellular telephones -3 data / 1 service</t>
  </si>
  <si>
    <t>Cellular telephone ( 2 )</t>
  </si>
  <si>
    <t xml:space="preserve">Cellular telephones and wireless communications (6) </t>
  </si>
  <si>
    <t>Reeds Ferry Field + other</t>
  </si>
  <si>
    <t>8101-0 Wages - Elected Officials</t>
  </si>
  <si>
    <t>8103-0 Wages - Supervisory</t>
  </si>
  <si>
    <t>8104-0 Wages - Other Full-Time</t>
  </si>
  <si>
    <t>8107-0 Wages - Part-Time</t>
  </si>
  <si>
    <t>8111-0 Overtime - Other</t>
  </si>
  <si>
    <t>8125-0 Social Security</t>
  </si>
  <si>
    <t>8128-0 Retirement</t>
  </si>
  <si>
    <t>8131-0 Health Insurance</t>
  </si>
  <si>
    <t>8132-0 Dental Insurance</t>
  </si>
  <si>
    <t>8133-0 Life Insurance</t>
  </si>
  <si>
    <t>8134-0 Disability Insurance</t>
  </si>
  <si>
    <t>8135-0 Workers Compensation</t>
  </si>
  <si>
    <t>8136-0 Unemployment Compensation</t>
  </si>
  <si>
    <t>8142-0 Compensated Absences</t>
  </si>
  <si>
    <t>8143-0 EMPLOYEE INCENTIVES/Raises</t>
  </si>
  <si>
    <t>8201-0 Office Supplies</t>
  </si>
  <si>
    <t>8220-0 Printing</t>
  </si>
  <si>
    <t>8230-0 Postage</t>
  </si>
  <si>
    <t>8260-0 Telephone</t>
  </si>
  <si>
    <t>8270-0 Dues &amp; Fees</t>
  </si>
  <si>
    <t>8271-0 Subscriptions</t>
  </si>
  <si>
    <t>8280-0 General Insurance</t>
  </si>
  <si>
    <t>8293-0 Legal-Other</t>
  </si>
  <si>
    <t>8300-0 Travel &amp; Meetings</t>
  </si>
  <si>
    <t>8334-0 Maintenance-Office Equipment</t>
  </si>
  <si>
    <t>8351-0 Consultants</t>
  </si>
  <si>
    <t>8352-0 Education &amp; Training</t>
  </si>
  <si>
    <t>8353-0 Computer Services</t>
  </si>
  <si>
    <t>8359-0 Other Outside Services</t>
  </si>
  <si>
    <t>8405-0 Nashua Transit System</t>
  </si>
  <si>
    <t>8407-0 Historic Preservation</t>
  </si>
  <si>
    <t>8408-0 Agricultural Committee</t>
  </si>
  <si>
    <t>8410-0 Elections/Voter Registration</t>
  </si>
  <si>
    <t>8420-0 Advertising</t>
  </si>
  <si>
    <t>8460-0 Other Operating Expenses</t>
  </si>
  <si>
    <t>8501-0 Land</t>
  </si>
  <si>
    <t>8502-0 Building Improvements</t>
  </si>
  <si>
    <t>8504-0 Office Equipment</t>
  </si>
  <si>
    <t>8510-0 Transfer To Other Funds</t>
  </si>
  <si>
    <t>8202-0 Maintenance Supplies</t>
  </si>
  <si>
    <t>8203-0 Operating Supplies</t>
  </si>
  <si>
    <t>8204-0 Uniforms, Personal Protective Clothing</t>
  </si>
  <si>
    <t>8241-0 Electricity</t>
  </si>
  <si>
    <t>8242-0 Natural Gas</t>
  </si>
  <si>
    <t>8244-0 Water</t>
  </si>
  <si>
    <t>8245-0 Sewer</t>
  </si>
  <si>
    <t>8250-0 Vehicle Fuel</t>
  </si>
  <si>
    <t>8321-0 Maintenance-Buildings &amp; Grounds</t>
  </si>
  <si>
    <t>8331-0 Maintenance-Machinery</t>
  </si>
  <si>
    <t>8332-0 Maintenance-Vehicles</t>
  </si>
  <si>
    <t>8335-0 Maintenance-Communications Equipment</t>
  </si>
  <si>
    <t>8336-0 Maintenance-Other</t>
  </si>
  <si>
    <t>8506-0 Communications Equipment</t>
  </si>
  <si>
    <t>8508-0 Operating Equipment</t>
  </si>
  <si>
    <t>8459-0 Physical Exams</t>
  </si>
  <si>
    <t>8408-0 Rescue</t>
  </si>
  <si>
    <t>8430-0 Dog Pound</t>
  </si>
  <si>
    <t>8433-0 P.A.C.T. (Offset by Revenue)</t>
  </si>
  <si>
    <t>8102-0 Wages - Clerical</t>
  </si>
  <si>
    <t>8105-0 Overtime - Supervisory</t>
  </si>
  <si>
    <t>Inc / (Dec)</t>
  </si>
  <si>
    <t>8212-0 Equipment Rental</t>
  </si>
  <si>
    <t>8205-0 Laboratory Supplies</t>
  </si>
  <si>
    <t>8243-0 Heating Oil</t>
  </si>
  <si>
    <t>8311-0 Chemicals</t>
  </si>
  <si>
    <t>8316-0 Bulking Agent</t>
  </si>
  <si>
    <t>8322-0 Maintenance-Grounds</t>
  </si>
  <si>
    <t>8406-0 Emergency Management</t>
  </si>
  <si>
    <t>8503-0  Vehicles</t>
  </si>
  <si>
    <t>8505-0 Infrastructure/Paving</t>
  </si>
  <si>
    <t>8399-0 Social &amp; Health Services</t>
  </si>
  <si>
    <t>8600-0 Debt Service</t>
  </si>
  <si>
    <t>8341-0 Sand &amp; Salt</t>
  </si>
  <si>
    <t>8342-0 Cold Patch</t>
  </si>
  <si>
    <t>8344-0 Hot Top</t>
  </si>
  <si>
    <t>8346-0 Road Materials</t>
  </si>
  <si>
    <t>8348-0 Drainage Maintenance</t>
  </si>
  <si>
    <t>8354-0 Traffic Control Devices</t>
  </si>
  <si>
    <t>8361-0 Street Lights</t>
  </si>
  <si>
    <t>8362-0 Traffic Signals</t>
  </si>
  <si>
    <t>8382-0 Tree Service</t>
  </si>
  <si>
    <t>8386-0 Bridge Repairs</t>
  </si>
  <si>
    <t>8440-0 Cemetery Maintenance</t>
  </si>
  <si>
    <t>8371-0 Maintenance - Grounds (MYA)</t>
  </si>
  <si>
    <t>8388-0 Special Waste Disposal</t>
  </si>
  <si>
    <t>8356-0 Solid Waste Disposal Constr &amp; Demolition materials</t>
  </si>
  <si>
    <t>8355-0 Solid Waste Disposal</t>
  </si>
  <si>
    <t>8350-0 Material Handling</t>
  </si>
  <si>
    <t>8370-0 Landfill Monitoring</t>
  </si>
  <si>
    <t>Fund 33</t>
  </si>
  <si>
    <t>Fund 45</t>
  </si>
  <si>
    <t>Other Special Revenue Funds</t>
  </si>
  <si>
    <t>8374-0 Library Programs</t>
  </si>
  <si>
    <t>8450-0 Library Materials</t>
  </si>
  <si>
    <t>8370-0 275th Anniversary Celebration</t>
  </si>
  <si>
    <t>8371-0 Merrimack Youth Association</t>
  </si>
  <si>
    <t>8372-0 Fourth of July</t>
  </si>
  <si>
    <t>8373-0 Memorial Day</t>
  </si>
  <si>
    <t>8374-0 Recreation Programs</t>
  </si>
  <si>
    <t>8376-0 Senior Citizens</t>
  </si>
  <si>
    <t>8377-0 Adult Community Center</t>
  </si>
  <si>
    <t>8388-0 Economic Development</t>
  </si>
  <si>
    <t>8393-0 Conservation</t>
  </si>
  <si>
    <t>8458-0 Milfoil Treatment Program</t>
  </si>
  <si>
    <t>8430-0 Dog Licenses</t>
  </si>
  <si>
    <t>8481-0 Housing (rent and mortgage payments)</t>
  </si>
  <si>
    <t>8482-0 Electricity</t>
  </si>
  <si>
    <t>8483-0 Natural Gas Heat</t>
  </si>
  <si>
    <t>8484-0 Heating Oil and Kerosene</t>
  </si>
  <si>
    <t>8485-0 Vehicle fuel</t>
  </si>
  <si>
    <t>8486-0 Telephone</t>
  </si>
  <si>
    <t>8488-0 Food</t>
  </si>
  <si>
    <t>8489-0 Medical</t>
  </si>
  <si>
    <t>8490-0 Prescriptions</t>
  </si>
  <si>
    <r>
      <t xml:space="preserve">8491-0 Other </t>
    </r>
    <r>
      <rPr>
        <sz val="8"/>
        <rFont val="Times New Roman"/>
        <family val="1"/>
      </rPr>
      <t>(property taxes, sewer, water, and personal maintenance)</t>
    </r>
  </si>
  <si>
    <t>8492-0 Santa Fund</t>
  </si>
  <si>
    <t>8493-0 Insurance</t>
  </si>
  <si>
    <t>8494-0 Burials</t>
  </si>
  <si>
    <t>8495-0 Propane fuel heat</t>
  </si>
  <si>
    <t xml:space="preserve">8892-0 Heating/ Electric Assistance Fund </t>
  </si>
  <si>
    <t>8893-0 Crisis Funds</t>
  </si>
  <si>
    <t>8381-0 Sewer Maintenance</t>
  </si>
  <si>
    <t>Maintainer I 25 hrs x week (Part Time Year Round)</t>
  </si>
  <si>
    <t>Seasonal Park Maintainer (20 hrs / week x 12 weeks)</t>
  </si>
  <si>
    <t>Farmers Market Attendant (4 hrs / wk x 12 weeks)</t>
  </si>
  <si>
    <t>Farmers Market  (Signage, Admin Costs, Rain Space)</t>
  </si>
  <si>
    <t>Wasserman Park - Roof Replacement</t>
  </si>
  <si>
    <t>Assistant Director- 8 hours/day x 47 days</t>
  </si>
  <si>
    <t>Medical Supplies</t>
  </si>
  <si>
    <t>Librarian I - Circulation</t>
  </si>
  <si>
    <t>Invoice Cloud - online tax payment software support</t>
  </si>
  <si>
    <t>Barcode scanners (5) motor vehicle and dog processing</t>
  </si>
  <si>
    <t>St. Joseph's Community Services - Meals on Wheels</t>
  </si>
  <si>
    <t>Zoom</t>
  </si>
  <si>
    <t>Media Assistant - Full time</t>
  </si>
  <si>
    <t>Tightrope Media Systems (cablecast &amp; streaming)</t>
  </si>
  <si>
    <t>Public Access editing system and equipment</t>
  </si>
  <si>
    <t xml:space="preserve">Sawdust bulking agent for composting </t>
  </si>
  <si>
    <t>Maintenance of nine pump stations</t>
  </si>
  <si>
    <t xml:space="preserve">Replacement liners for screw conveyors  </t>
  </si>
  <si>
    <t>FKC Screw press PM- Build-up Screw</t>
  </si>
  <si>
    <r>
      <t>Rebuild 3 Biofilters  (3000 compost biofilter yd</t>
    </r>
    <r>
      <rPr>
        <vertAlign val="superscript"/>
        <sz val="10"/>
        <rFont val="Times New Roman"/>
        <family val="1"/>
      </rPr>
      <t xml:space="preserve">3 - </t>
    </r>
    <r>
      <rPr>
        <sz val="10"/>
        <rFont val="Times New Roman"/>
        <family val="1"/>
      </rPr>
      <t>to replace media  ) $13.12/yd + 500 yards  (remaining biofilters) + cost to excavate and replace</t>
    </r>
  </si>
  <si>
    <t>Construction Cost   $15,000</t>
  </si>
  <si>
    <t>Horizon Solutions MCC - Electrical &amp; VFD PM Program Development</t>
  </si>
  <si>
    <t>Maintenance of ancillary &amp; support equipment to include SCADA/VFD/MCC</t>
  </si>
  <si>
    <t>Licensed Electrician Services</t>
  </si>
  <si>
    <t>Third year of five year program to evaluate the sewer system</t>
  </si>
  <si>
    <t>Compost Blowers (15/yr for 5 years)</t>
  </si>
  <si>
    <t xml:space="preserve">Chemicals, filter paper, glassware, small instruments and </t>
  </si>
  <si>
    <t>other lab supplies necessary to comply with NPDES permit</t>
  </si>
  <si>
    <t>Elevator inspection/maintenance/permits</t>
  </si>
  <si>
    <t>Repairs to building exterior - siding, roof, etc</t>
  </si>
  <si>
    <t>Fertilizer/soil supplements</t>
  </si>
  <si>
    <t>Parking Lot Reconstruction - Church Lot</t>
  </si>
  <si>
    <t>One-ton Dump Truck, B&amp;G-1</t>
  </si>
  <si>
    <t>Computer paper, ink and misc office supplies - Purchsed under Highway budget</t>
  </si>
  <si>
    <t>Hand tools, maintenance of power tools, lifts, jacks  and other equip</t>
  </si>
  <si>
    <t>Scanner Program Updates</t>
  </si>
  <si>
    <t>Tipping fee for solid waste disposal (6,600T x $79.25/T)</t>
  </si>
  <si>
    <t>Tipping fee for construction and demolition disposal (1,500T x $96.00/T)</t>
  </si>
  <si>
    <t>Public Works Week</t>
  </si>
  <si>
    <t>Office Trailer</t>
  </si>
  <si>
    <t>Wireless traffic counter</t>
  </si>
  <si>
    <t>PT Custodian (12 hours per week)</t>
  </si>
  <si>
    <t>Rental of Misc Equipment and power tools</t>
  </si>
  <si>
    <t>Paver Rental - 2 weeks</t>
  </si>
  <si>
    <t>RC Mower - Stormwater Basins - 1 week</t>
  </si>
  <si>
    <t>American Public Works Association (4 members)</t>
  </si>
  <si>
    <t>Liquid Mag Chloride/Brine Operations</t>
  </si>
  <si>
    <t>Trash removal - Dumpster</t>
  </si>
  <si>
    <t>Trash Removal - Dumpster (MYA/Vets/Bise field)</t>
  </si>
  <si>
    <t>Landfill Mower</t>
  </si>
  <si>
    <t>Administration vehicle</t>
  </si>
  <si>
    <t>01-05-8270-0 Dues &amp; Fees</t>
  </si>
  <si>
    <t>APCO Membership</t>
  </si>
  <si>
    <t>System Upgrade Agreement (SUAII)</t>
  </si>
  <si>
    <t>Annual Preventive Maintenance, Security Upgrade Services</t>
  </si>
  <si>
    <t>Radio User fee</t>
  </si>
  <si>
    <t>Holiday pay:10 holidays X 10 hr X 36 employees</t>
  </si>
  <si>
    <t xml:space="preserve">MYA Request to maintain 15 light towers - </t>
  </si>
  <si>
    <t>CRF Purchases</t>
  </si>
  <si>
    <t>CRF Purcahses WWTF</t>
  </si>
  <si>
    <t>Unleaded gasoline for 3 vehicles  PT Insp +200</t>
  </si>
  <si>
    <t xml:space="preserve">PT Inspector </t>
  </si>
  <si>
    <t>Building Inspections after hours (50)</t>
  </si>
  <si>
    <t>Janitorial Supplies; Light Bulbs; tools; Misc Hardware (as of 12/1/21 spent $2,271)</t>
  </si>
  <si>
    <t>Annual EMS Certifications and Training (National Registry Requirements) Proj Increase</t>
  </si>
  <si>
    <t>Annual Employee Health Physicals  Is this enough for 45 Employees ??</t>
  </si>
  <si>
    <t>New Portables</t>
  </si>
  <si>
    <t>Holidays - 10 holidays X 24 hr. X 11 personnel</t>
  </si>
  <si>
    <t>non-union wage increase</t>
  </si>
  <si>
    <t>01-15-8111-0 Overtime-Other</t>
  </si>
  <si>
    <t>Safety Glasses</t>
  </si>
  <si>
    <t>WWTF Phase IV Bond</t>
  </si>
  <si>
    <t>Safety Glasses - Teamsters</t>
  </si>
  <si>
    <t>01-09-8508-0 Operating Equipment</t>
  </si>
  <si>
    <t>2023-24 BUDGET</t>
  </si>
  <si>
    <t>2023-24</t>
  </si>
  <si>
    <t>Group 1 Wages</t>
  </si>
  <si>
    <t>Firefighter Wages</t>
  </si>
  <si>
    <t>Police Wages</t>
  </si>
  <si>
    <t>Group 1 Wages - WWTF and Media</t>
  </si>
  <si>
    <t>Head of Circulation</t>
  </si>
  <si>
    <t>Head of Technical Services/Exec Dept Head</t>
  </si>
  <si>
    <t>Intern</t>
  </si>
  <si>
    <t>Fund 43</t>
  </si>
  <si>
    <t>8375-0 Day Camp</t>
  </si>
  <si>
    <t>Master Patrolman</t>
  </si>
  <si>
    <t>Holiday pay - 10 holidays X 8 hr X 8 employees</t>
  </si>
  <si>
    <t>8106-0 Animal Control</t>
  </si>
  <si>
    <t xml:space="preserve"> 8333-0 Maintenance-Vehicles</t>
  </si>
  <si>
    <t>Minus 88 for Uniform Allowance</t>
  </si>
  <si>
    <t>21-22 Use</t>
  </si>
  <si>
    <t>IAAO</t>
  </si>
  <si>
    <t>Open Fox Mobile Messaging</t>
  </si>
  <si>
    <t xml:space="preserve">  Website Hosting Services</t>
  </si>
  <si>
    <t>2023-24 Proposed Capital Reserve Funding</t>
  </si>
  <si>
    <t>SMARTSAFE services</t>
  </si>
  <si>
    <t>HR - Civic Plus software and support</t>
  </si>
  <si>
    <t>2023 Phase III Plant Renovations</t>
  </si>
  <si>
    <t>* need to spread 59,191 of overhead cost</t>
  </si>
  <si>
    <t xml:space="preserve">Dog License Look Up </t>
  </si>
  <si>
    <t>Southern NH Special Operations</t>
  </si>
  <si>
    <t>Blood Draws at hospitals</t>
  </si>
  <si>
    <t>Patrol SUVs (4)</t>
  </si>
  <si>
    <t>Taser Replancement Program</t>
  </si>
  <si>
    <t>2 Weekend Park Attendants for town beach (416 hrs) &amp; Function Hall Rentals (25 hours)</t>
  </si>
  <si>
    <t>1 Lifeguard for town beach - 40 hr x 9 wks</t>
  </si>
  <si>
    <t xml:space="preserve">Waterfront Director hours divided between town and camp - 20 hr x 10 wk </t>
  </si>
  <si>
    <t>4th of July</t>
  </si>
  <si>
    <t>NH Rec and Park Association (2 Professionals)</t>
  </si>
  <si>
    <t>NH Camp Directors Association (Agency Membership)</t>
  </si>
  <si>
    <t>National Recreation &amp; Park Association (2 Professionals)</t>
  </si>
  <si>
    <t>Park grounds</t>
  </si>
  <si>
    <t>Wasserman Park - Road &amp; Parking Improvements</t>
  </si>
  <si>
    <t xml:space="preserve">  Library Assistant I - Reference    </t>
  </si>
  <si>
    <r>
      <t xml:space="preserve">  Library Assistant I - Reference </t>
    </r>
    <r>
      <rPr>
        <b/>
        <sz val="10"/>
        <rFont val="Times New Roman"/>
        <family val="1"/>
      </rPr>
      <t>Trustees approved FT Position</t>
    </r>
  </si>
  <si>
    <r>
      <t xml:space="preserve">  Library Assistant I - Reference</t>
    </r>
    <r>
      <rPr>
        <b/>
        <sz val="10"/>
        <color rgb="FFFF0000"/>
        <rFont val="Times New Roman"/>
        <family val="1"/>
      </rPr>
      <t xml:space="preserve"> Trustees approved FT Position </t>
    </r>
  </si>
  <si>
    <r>
      <t xml:space="preserve">  Librarian I - Reference </t>
    </r>
    <r>
      <rPr>
        <b/>
        <strike/>
        <sz val="10"/>
        <rFont val="Times New Roman"/>
        <family val="1"/>
      </rPr>
      <t>Trustees approved FT Position</t>
    </r>
  </si>
  <si>
    <t>Sustaining the Library (LBOT $1000Q,$2400PLC)</t>
  </si>
  <si>
    <t>Programs (LBOT $3000 Special DCU)</t>
  </si>
  <si>
    <t xml:space="preserve">Adult materials (LBOT $1000L) </t>
  </si>
  <si>
    <t>Large print (LBOT $400 PLC)</t>
  </si>
  <si>
    <t xml:space="preserve">Children's materials (LBOT $1200PLC, $1000L) </t>
  </si>
  <si>
    <t xml:space="preserve">Museum passes (LBOT $5,000 FINES) </t>
  </si>
  <si>
    <t xml:space="preserve">Library of Things </t>
  </si>
  <si>
    <r>
      <t>Welfare officials workshop (</t>
    </r>
    <r>
      <rPr>
        <b/>
        <sz val="10"/>
        <rFont val="Times New Roman"/>
        <family val="1"/>
      </rPr>
      <t>$75</t>
    </r>
    <r>
      <rPr>
        <sz val="10"/>
        <rFont val="Times New Roman"/>
        <family val="1"/>
      </rPr>
      <t xml:space="preserve">) &amp; meeting seminars(4 x </t>
    </r>
    <r>
      <rPr>
        <b/>
        <sz val="10"/>
        <rFont val="Times New Roman"/>
        <family val="1"/>
      </rPr>
      <t>$20</t>
    </r>
    <r>
      <rPr>
        <sz val="10"/>
        <rFont val="Times New Roman"/>
        <family val="1"/>
      </rPr>
      <t>)</t>
    </r>
  </si>
  <si>
    <t>CSI RMS Annual fee</t>
  </si>
  <si>
    <t>Interface between Image Trend and RMS</t>
  </si>
  <si>
    <t>Reconstruct Building Sprinkler System in Town Hall, East and West Wings</t>
  </si>
  <si>
    <t>Air Compressor - M1</t>
  </si>
  <si>
    <t>Tire changer and Wheel Balancer</t>
  </si>
  <si>
    <t>The rate is $32,000 per quarter</t>
  </si>
  <si>
    <t xml:space="preserve">Proposed Increase </t>
  </si>
  <si>
    <t>Screw and Liner repairs</t>
  </si>
  <si>
    <t>Misc operating expenses not otherwise assigned, Publuc Works Week</t>
  </si>
  <si>
    <t>APWA Emerging Leaders Program - Operations Manager</t>
  </si>
  <si>
    <t>Salt for winter road maintenance -2000 ton x $79.22</t>
  </si>
  <si>
    <t>Solar Salt 110 ton x $89.50</t>
  </si>
  <si>
    <t>Sand  - 1000 ton x $18</t>
  </si>
  <si>
    <t>1/2" Stone - 500 ton x $12.50 (gravel roads)</t>
  </si>
  <si>
    <t>Old Highway Garage Overhead Doors (Replace 1 per year over four years)</t>
  </si>
  <si>
    <t>Updated fuel distribution system</t>
  </si>
  <si>
    <t>Brine Storage Tank</t>
  </si>
  <si>
    <t>Replace base radio unit and desk units (2 each) (FY23 project)</t>
  </si>
  <si>
    <t>Plate Compactor</t>
  </si>
  <si>
    <t>Single stream disposal costs (1,500T x $150/T)</t>
  </si>
  <si>
    <t>Prevention, Education, Treatment Officer</t>
  </si>
  <si>
    <t>2 Interns - Interns to assist Sewer/Pretreatment</t>
  </si>
  <si>
    <t xml:space="preserve">  Moderators - 150 hr X 2 elections = 300 hr X $10</t>
  </si>
  <si>
    <t xml:space="preserve">  Election workers - 150 hr X 2 election = 300 hr X $7.25</t>
  </si>
  <si>
    <t>Office 365 Security</t>
  </si>
  <si>
    <t>Office 365 Email</t>
  </si>
  <si>
    <t>Anti- Ransom Ware protection</t>
  </si>
  <si>
    <t>Live Fire Training</t>
  </si>
  <si>
    <t xml:space="preserve">  Telephone &amp; Internet</t>
  </si>
  <si>
    <t xml:space="preserve">Naticook Day Camp </t>
  </si>
  <si>
    <t>Camp/ASP Director - 8 hrs/days x 5 days x 13 weeks</t>
  </si>
  <si>
    <t xml:space="preserve">Camp Nurse - 8 hrs/day x 47 days </t>
  </si>
  <si>
    <t>Kitchen Manager/Cook - 8 hrs/day x 47 days</t>
  </si>
  <si>
    <t>Kitchen Help/Cooks Assistant - 8 hrs/day x 47 days</t>
  </si>
  <si>
    <t>Waterfront Director-hrs divided between town &amp; camp - 4 hrs/day x 47days</t>
  </si>
  <si>
    <t>Lifeguard - 8 hrs / day x 47 days x 2 employees</t>
  </si>
  <si>
    <t>WSI's for camp swim lesson- 8 hrs/day x 47 days X 3 employees</t>
  </si>
  <si>
    <t>Senior Counselors- 8 hrs/days x 47 days x 11 employees</t>
  </si>
  <si>
    <t>Junior Counselors -8 hrs/day x 47 days x 6 employees</t>
  </si>
  <si>
    <t>1:1 Aides - 8 hrs/ day x47 days x 2 employees</t>
  </si>
  <si>
    <t>Activity Specialists -8 hrs / days x 47 days x 4 employees</t>
  </si>
  <si>
    <t>CIT Coordinator / Programs - hours/day x 47 days</t>
  </si>
  <si>
    <t>Seasonal Park Maintainer - 8 hrs/ day x 47 Days</t>
  </si>
  <si>
    <t>Parks &amp; Recreation Intern (40 Hrs/ wk x 12 weeks)</t>
  </si>
  <si>
    <t>Total Wages</t>
  </si>
  <si>
    <t>Operating supplies - Food</t>
  </si>
  <si>
    <t>Camp Special Events</t>
  </si>
  <si>
    <t>Back ground checks  (36x $25.00 each)</t>
  </si>
  <si>
    <t>Program Administration Expenses  (Medical Management software)</t>
  </si>
  <si>
    <t>Town Employee Discount (last years rate)</t>
  </si>
  <si>
    <t>Camp / ASP Director's Benefits-25%</t>
  </si>
  <si>
    <t>Camp Trek</t>
  </si>
  <si>
    <t>Director - 8 hrs/day x 48 days</t>
  </si>
  <si>
    <t>Senior Counselors - 8 hrs / day x 47 x 6 employees</t>
  </si>
  <si>
    <t>Back ground checks  (7 x $25.00 each)</t>
  </si>
  <si>
    <t>Program Supplies</t>
  </si>
  <si>
    <t>Trek - Bus Transportation (5 Days per week x 9 weeks) - $416/trip average</t>
  </si>
  <si>
    <t xml:space="preserve">Trek - Field Trip Admisssion Fees (5 days wk x 9 weeks) </t>
  </si>
  <si>
    <t xml:space="preserve">Theater Camp </t>
  </si>
  <si>
    <t xml:space="preserve">Director - 50 hours/wk  </t>
  </si>
  <si>
    <t>Senior Counselors - 50 hrs  x 3 employees</t>
  </si>
  <si>
    <t>After School Program</t>
  </si>
  <si>
    <t>Director - 8 hrs/day x 5 days x 36 weeks</t>
  </si>
  <si>
    <t xml:space="preserve">Senior Counselor - 4 hrs / day x180 days </t>
  </si>
  <si>
    <t>Junior Counselor - 4 hrs / day x 180 days</t>
  </si>
  <si>
    <t>Transportation ($200/day x 180)</t>
  </si>
  <si>
    <t>Operating Supplies - Food</t>
  </si>
  <si>
    <t>Operating Supplies - Program Supplies</t>
  </si>
  <si>
    <t>Uniforms</t>
  </si>
  <si>
    <t>State Licensing Fees</t>
  </si>
  <si>
    <t>Credit Card Transaction Fees</t>
  </si>
  <si>
    <t>Camp / ASP Director's Benefits - 69.23 %</t>
  </si>
  <si>
    <t>Director - 8 hrs/days x 5 days x 3 weeks</t>
  </si>
  <si>
    <t xml:space="preserve">Rec Desk Registration Software Allocation </t>
  </si>
  <si>
    <t>Camp / ASP Director's Benefits - 5.76 %</t>
  </si>
  <si>
    <t>Parent's Night Out Programs</t>
  </si>
  <si>
    <t xml:space="preserve">Director - 4 hrs/days x 13 days </t>
  </si>
  <si>
    <t xml:space="preserve">Counselors  - 4 hrs x 13 days </t>
  </si>
  <si>
    <t>Jr. Counselor - 4 hrs x 13 days</t>
  </si>
  <si>
    <t>Back ground checks  (3 x $25.00 each)</t>
  </si>
  <si>
    <t>Contracted Program</t>
  </si>
  <si>
    <t>SuppliesFood for participants</t>
  </si>
  <si>
    <t>SOLO Course Participant Fees - $110/pp x 75 pp</t>
  </si>
  <si>
    <t>Union Contract IAFF</t>
  </si>
  <si>
    <t>Union Contract AFSCME 3657</t>
  </si>
  <si>
    <t>Union Contract AFSCME 2986</t>
  </si>
  <si>
    <t>Deputy Public Works Director/Environmnetal</t>
  </si>
  <si>
    <t>Increase (decrease)</t>
  </si>
  <si>
    <t>Firefighter  MFF</t>
  </si>
  <si>
    <t>Firefighter</t>
  </si>
  <si>
    <t>Fire Fighter - Paramedic  MFF</t>
  </si>
  <si>
    <t>Fire Fighter - Paramedic</t>
  </si>
  <si>
    <t>Master Firefighter - Paramedic</t>
  </si>
  <si>
    <t>Security</t>
  </si>
  <si>
    <t>Tennis Lessons</t>
  </si>
  <si>
    <t>Races - Trail and Road</t>
  </si>
  <si>
    <t>Swimming Lessons</t>
  </si>
  <si>
    <t>Total Programs</t>
  </si>
  <si>
    <t>Subtotal - General Fund</t>
  </si>
  <si>
    <t>Human Resource Director</t>
  </si>
  <si>
    <t>Part Time Secretary</t>
  </si>
  <si>
    <t>Media Assistant On-Call</t>
  </si>
  <si>
    <t>Cellular telephones (3)</t>
  </si>
  <si>
    <t>Cellular airtime for mobile data terminals - 12</t>
  </si>
  <si>
    <t>* Anticipated Balance as of 7/1/23.  Balance could vary due to interest and purchases during the 2022-23 budget</t>
  </si>
  <si>
    <t>** all CRF Purchases will be approved at a council meeting going forward PER Department of Revenue Instructions.</t>
  </si>
  <si>
    <t>*** Estimated balance as of 6/30/24 does not include interest and may vary due to purchases during the 2023-24 budget year</t>
  </si>
  <si>
    <t xml:space="preserve"> Balance</t>
  </si>
  <si>
    <t>2023-24 **</t>
  </si>
  <si>
    <t xml:space="preserve"> Balance***</t>
  </si>
  <si>
    <t>Community Services Officer</t>
  </si>
  <si>
    <t>2023  Estimated Tax Rate (Total)</t>
  </si>
  <si>
    <t>2023  Estimated Tax Rate (Operating Budget)</t>
  </si>
  <si>
    <t>2023  Estimated Tax Rate (Capital Reserve Fund Deposits)</t>
  </si>
  <si>
    <t>2023-24 Budget</t>
  </si>
  <si>
    <t>Town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</si>
</sst>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_);_(* \(#,##0.000\);_(* &quot;-&quot;???_);_(@_)"/>
    <numFmt numFmtId="166" formatCode="0_);\(0\)"/>
    <numFmt numFmtId="167" formatCode="_(* #,##0.0_);_(* \(#,##0.0\);_(* &quot;-&quot;?_);_(@_)"/>
    <numFmt numFmtId="168" formatCode="0.0%"/>
    <numFmt numFmtId="169" formatCode="_(* #,##0.00_);_(* \(#,##0.00\);_(* &quot;-&quot;_);_(@_)"/>
    <numFmt numFmtId="170" formatCode="&quot;$&quot;#,##0.00"/>
    <numFmt numFmtId="171" formatCode="_(* #,##0_);_(* \(#,##0\);_(* &quot;-&quot;??_);_(@_)"/>
    <numFmt numFmtId="172" formatCode="&quot;$&quot;#,##0"/>
    <numFmt numFmtId="173" formatCode="_(* #,##0.00_);_(* \(#,##0.00\);_(* &quot;-&quot;????_);_(@_)"/>
    <numFmt numFmtId="174" formatCode="_(&quot;$&quot;* #,##0_);_(&quot;$&quot;* \(#,##0\);_(&quot;$&quot;* &quot;-&quot;??_);_(@_)"/>
    <numFmt numFmtId="175" formatCode="_(* #,##0.000_);_(* \(#,##0.000\);_(* &quot;-&quot;_);_(@_)"/>
    <numFmt numFmtId="176" formatCode="#,##0.0000"/>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2"/>
      <name val="Times New Roman"/>
      <family val="1"/>
    </font>
    <font>
      <b/>
      <i/>
      <sz val="12"/>
      <name val="Times New Roman"/>
      <family val="1"/>
    </font>
    <font>
      <b/>
      <u/>
      <sz val="12"/>
      <name val="Times New Roman"/>
      <family val="1"/>
    </font>
    <font>
      <b/>
      <u val="singleAccounting"/>
      <sz val="12"/>
      <name val="Times New Roman"/>
      <family val="1"/>
    </font>
    <font>
      <u val="singleAccounting"/>
      <sz val="10"/>
      <name val="Arial"/>
      <family val="2"/>
    </font>
    <font>
      <b/>
      <sz val="14"/>
      <name val="Times New Roman"/>
      <family val="1"/>
    </font>
    <font>
      <b/>
      <u/>
      <sz val="14"/>
      <name val="Times New Roman"/>
      <family val="1"/>
    </font>
    <font>
      <sz val="11"/>
      <color theme="1"/>
      <name val="Calibri"/>
      <family val="2"/>
      <scheme val="minor"/>
    </font>
    <font>
      <sz val="11"/>
      <name val="Calibri"/>
      <family val="2"/>
      <scheme val="minor"/>
    </font>
    <font>
      <sz val="11"/>
      <name val="Times New Roman"/>
      <family val="1"/>
    </font>
    <font>
      <u val="singleAccounting"/>
      <sz val="11"/>
      <name val="Times New Roman"/>
      <family val="1"/>
    </font>
    <font>
      <b/>
      <u/>
      <sz val="10"/>
      <color indexed="12"/>
      <name val="Arial"/>
      <family val="2"/>
    </font>
    <font>
      <sz val="10"/>
      <name val="Arial"/>
      <family val="2"/>
    </font>
    <font>
      <b/>
      <sz val="11"/>
      <name val="Times New Roman"/>
      <family val="1"/>
    </font>
    <font>
      <b/>
      <sz val="10"/>
      <name val="Arial"/>
      <family val="2"/>
    </font>
    <font>
      <b/>
      <sz val="11"/>
      <name val="Calibri"/>
      <family val="2"/>
      <scheme val="minor"/>
    </font>
    <font>
      <sz val="10"/>
      <name val="Calibri"/>
      <family val="2"/>
      <scheme val="minor"/>
    </font>
    <font>
      <u/>
      <sz val="10"/>
      <name val="Calibri"/>
      <family val="2"/>
      <scheme val="minor"/>
    </font>
    <font>
      <sz val="10"/>
      <color theme="1"/>
      <name val="Times New Roman"/>
      <family val="1"/>
    </font>
    <font>
      <sz val="10"/>
      <color theme="1"/>
      <name val="Calibri"/>
      <family val="2"/>
      <scheme val="minor"/>
    </font>
    <font>
      <b/>
      <sz val="10"/>
      <color theme="1"/>
      <name val="Times New Roman"/>
      <family val="1"/>
    </font>
    <font>
      <vertAlign val="superscript"/>
      <sz val="10"/>
      <name val="Times New Roman"/>
      <family val="1"/>
    </font>
    <font>
      <b/>
      <i/>
      <u/>
      <sz val="10"/>
      <color theme="1"/>
      <name val="Times New Roman"/>
      <family val="1"/>
    </font>
    <font>
      <u/>
      <sz val="10"/>
      <color theme="1"/>
      <name val="Times New Roman"/>
      <family val="1"/>
    </font>
    <font>
      <u val="singleAccounting"/>
      <sz val="10"/>
      <color theme="1"/>
      <name val="Times New Roman"/>
      <family val="1"/>
    </font>
    <font>
      <b/>
      <u/>
      <sz val="10"/>
      <color theme="1"/>
      <name val="Times New Roman"/>
      <family val="1"/>
    </font>
    <font>
      <b/>
      <sz val="9"/>
      <name val="Arial"/>
      <family val="2"/>
    </font>
    <font>
      <b/>
      <sz val="8"/>
      <name val="Arial"/>
      <family val="2"/>
    </font>
    <font>
      <i/>
      <sz val="10"/>
      <color rgb="FFFF0000"/>
      <name val="Times New Roman"/>
      <family val="1"/>
    </font>
    <font>
      <b/>
      <sz val="10"/>
      <name val="Calibri"/>
      <family val="2"/>
      <scheme val="minor"/>
    </font>
    <font>
      <b/>
      <sz val="8"/>
      <name val="Times New Roman"/>
      <family val="1"/>
    </font>
    <font>
      <b/>
      <sz val="9"/>
      <color indexed="81"/>
      <name val="Tahoma"/>
      <family val="2"/>
    </font>
    <font>
      <sz val="9"/>
      <color indexed="81"/>
      <name val="Tahoma"/>
      <family val="2"/>
    </font>
    <font>
      <strike/>
      <sz val="10"/>
      <name val="Times New Roman"/>
      <family val="1"/>
    </font>
    <font>
      <sz val="10"/>
      <color rgb="FFFF0000"/>
      <name val="Times New Roman"/>
      <family val="1"/>
    </font>
    <font>
      <b/>
      <sz val="10"/>
      <color rgb="FFFF0000"/>
      <name val="Times New Roman"/>
      <family val="1"/>
    </font>
    <font>
      <b/>
      <strike/>
      <sz val="10"/>
      <name val="Times New Roman"/>
      <family val="1"/>
    </font>
    <font>
      <strike/>
      <sz val="10"/>
      <name val="Calibri"/>
      <family val="2"/>
      <scheme val="minor"/>
    </font>
    <font>
      <b/>
      <sz val="9"/>
      <color rgb="FF000000"/>
      <name val="Tahoma"/>
      <family val="2"/>
    </font>
    <font>
      <sz val="9"/>
      <color rgb="FF000000"/>
      <name val="Tahoma"/>
      <family val="2"/>
    </font>
    <font>
      <u val="singleAccounting"/>
      <sz val="9"/>
      <name val="Arial"/>
      <family val="2"/>
    </font>
    <font>
      <sz val="9"/>
      <name val="Arial"/>
      <family val="2"/>
    </font>
    <font>
      <sz val="9"/>
      <name val="Calibri"/>
      <family val="2"/>
      <scheme val="minor"/>
    </font>
    <font>
      <b/>
      <sz val="9"/>
      <name val="Times New Roman"/>
      <family val="1"/>
    </font>
    <font>
      <b/>
      <i/>
      <u/>
      <sz val="12"/>
      <name val="Times New Roman"/>
      <family val="1"/>
    </font>
    <font>
      <u/>
      <sz val="12"/>
      <name val="Times New Roman"/>
      <family val="1"/>
    </font>
    <font>
      <b/>
      <i/>
      <u/>
      <sz val="12"/>
      <color theme="1"/>
      <name val="Times New Roman"/>
      <family val="1"/>
    </font>
    <font>
      <sz val="12"/>
      <color theme="1"/>
      <name val="Times New Roman"/>
      <family val="1"/>
    </font>
    <font>
      <u/>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29" fillId="0" borderId="0"/>
    <xf numFmtId="0" fontId="5" fillId="0" borderId="0"/>
    <xf numFmtId="0" fontId="5" fillId="0" borderId="0"/>
    <xf numFmtId="0" fontId="4" fillId="0" borderId="0"/>
    <xf numFmtId="0" fontId="7" fillId="0" borderId="0"/>
    <xf numFmtId="0" fontId="5" fillId="0" borderId="0"/>
    <xf numFmtId="9" fontId="4" fillId="0" borderId="0" applyFont="0" applyFill="0" applyBorder="0" applyAlignment="0" applyProtection="0"/>
    <xf numFmtId="43" fontId="34" fillId="0" borderId="0" applyFon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575">
    <xf numFmtId="0" fontId="0" fillId="0" borderId="0" xfId="0"/>
    <xf numFmtId="41" fontId="9" fillId="0" borderId="0" xfId="0" applyNumberFormat="1" applyFont="1" applyFill="1"/>
    <xf numFmtId="41" fontId="10" fillId="0" borderId="0" xfId="0" applyNumberFormat="1" applyFont="1"/>
    <xf numFmtId="41" fontId="10" fillId="0" borderId="0" xfId="0" applyNumberFormat="1" applyFont="1" applyFill="1"/>
    <xf numFmtId="41" fontId="10" fillId="0" borderId="0" xfId="0" applyNumberFormat="1" applyFont="1" applyFill="1" applyBorder="1"/>
    <xf numFmtId="0" fontId="10" fillId="0" borderId="0" xfId="0" applyFont="1" applyAlignment="1"/>
    <xf numFmtId="0" fontId="10" fillId="0" borderId="0" xfId="0" applyFont="1"/>
    <xf numFmtId="41" fontId="9"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Fill="1" applyAlignment="1"/>
    <xf numFmtId="0" fontId="10" fillId="0" borderId="0" xfId="0" applyFont="1" applyFill="1"/>
    <xf numFmtId="41" fontId="10" fillId="0" borderId="0" xfId="0" applyNumberFormat="1" applyFont="1" applyFill="1" applyAlignment="1">
      <alignment horizontal="right"/>
    </xf>
    <xf numFmtId="41" fontId="11" fillId="0" borderId="0" xfId="0" applyNumberFormat="1" applyFont="1" applyFill="1" applyAlignment="1">
      <alignment horizontal="right"/>
    </xf>
    <xf numFmtId="0" fontId="13" fillId="0" borderId="0" xfId="0" applyFont="1" applyFill="1" applyAlignment="1">
      <alignment horizontal="center"/>
    </xf>
    <xf numFmtId="41" fontId="11" fillId="0" borderId="0" xfId="0" applyNumberFormat="1" applyFont="1" applyFill="1"/>
    <xf numFmtId="43" fontId="10" fillId="0" borderId="0" xfId="0" applyNumberFormat="1" applyFont="1" applyFill="1"/>
    <xf numFmtId="0" fontId="10" fillId="0" borderId="0" xfId="0" quotePrefix="1" applyFont="1" applyFill="1"/>
    <xf numFmtId="164" fontId="10" fillId="0" borderId="0" xfId="0" applyNumberFormat="1" applyFont="1" applyFill="1"/>
    <xf numFmtId="0" fontId="13" fillId="0" borderId="0" xfId="0" quotePrefix="1" applyFont="1" applyFill="1" applyAlignment="1">
      <alignment horizontal="center"/>
    </xf>
    <xf numFmtId="41" fontId="10" fillId="0" borderId="0" xfId="0" applyNumberFormat="1" applyFont="1" applyFill="1" applyAlignment="1">
      <alignment horizontal="center"/>
    </xf>
    <xf numFmtId="14" fontId="13" fillId="0" borderId="0" xfId="0" applyNumberFormat="1" applyFont="1" applyFill="1" applyAlignment="1">
      <alignment horizontal="center"/>
    </xf>
    <xf numFmtId="41" fontId="14" fillId="0" borderId="0" xfId="0" applyNumberFormat="1" applyFont="1" applyFill="1"/>
    <xf numFmtId="41" fontId="14" fillId="0" borderId="0" xfId="0" applyNumberFormat="1" applyFont="1" applyFill="1" applyAlignment="1">
      <alignment horizontal="right"/>
    </xf>
    <xf numFmtId="0" fontId="9" fillId="0" borderId="0" xfId="0" applyFont="1" applyFill="1"/>
    <xf numFmtId="0" fontId="10" fillId="0" borderId="0" xfId="0" applyFont="1" applyFill="1" applyAlignment="1">
      <alignment horizontal="center"/>
    </xf>
    <xf numFmtId="43" fontId="10" fillId="0" borderId="0" xfId="0" applyNumberFormat="1" applyFont="1"/>
    <xf numFmtId="43" fontId="10" fillId="0" borderId="0" xfId="0" applyNumberFormat="1" applyFont="1" applyFill="1" applyAlignment="1">
      <alignment horizontal="right"/>
    </xf>
    <xf numFmtId="0" fontId="10" fillId="0" borderId="0" xfId="0" applyFont="1" applyFill="1" applyAlignment="1">
      <alignment horizontal="left"/>
    </xf>
    <xf numFmtId="41" fontId="9" fillId="0" borderId="0" xfId="0" applyNumberFormat="1" applyFont="1" applyFill="1" applyAlignment="1">
      <alignment horizontal="right"/>
    </xf>
    <xf numFmtId="41" fontId="19" fillId="0" borderId="0" xfId="0" applyNumberFormat="1" applyFont="1" applyFill="1"/>
    <xf numFmtId="0" fontId="14" fillId="0" borderId="0" xfId="0" applyFont="1" applyFill="1"/>
    <xf numFmtId="41" fontId="14" fillId="0" borderId="0" xfId="0" applyNumberFormat="1" applyFont="1" applyFill="1" applyAlignment="1">
      <alignment horizontal="center"/>
    </xf>
    <xf numFmtId="0" fontId="10" fillId="0" borderId="0" xfId="0" applyFont="1" applyFill="1" applyAlignment="1">
      <alignment horizontal="right"/>
    </xf>
    <xf numFmtId="41" fontId="11" fillId="0" borderId="0" xfId="0" applyNumberFormat="1" applyFont="1" applyFill="1" applyBorder="1"/>
    <xf numFmtId="0" fontId="10" fillId="0" borderId="0" xfId="0" applyFont="1" applyFill="1" applyAlignment="1">
      <alignment wrapText="1"/>
    </xf>
    <xf numFmtId="0" fontId="14" fillId="0" borderId="0" xfId="0" applyFont="1" applyAlignment="1">
      <alignment horizontal="right"/>
    </xf>
    <xf numFmtId="0" fontId="10" fillId="0" borderId="0" xfId="0" quotePrefix="1" applyFont="1" applyFill="1" applyAlignment="1">
      <alignment horizontal="left"/>
    </xf>
    <xf numFmtId="41" fontId="10" fillId="0" borderId="1" xfId="0" applyNumberFormat="1" applyFont="1" applyFill="1" applyBorder="1"/>
    <xf numFmtId="0" fontId="10" fillId="0" borderId="0" xfId="0" quotePrefix="1" applyFont="1" applyFill="1" applyAlignment="1">
      <alignment horizontal="right"/>
    </xf>
    <xf numFmtId="43" fontId="14" fillId="0" borderId="0" xfId="0" applyNumberFormat="1" applyFont="1"/>
    <xf numFmtId="0" fontId="14" fillId="0" borderId="0" xfId="0" applyFont="1"/>
    <xf numFmtId="43" fontId="9" fillId="0" borderId="0" xfId="0" applyNumberFormat="1" applyFont="1" applyFill="1" applyAlignment="1">
      <alignment horizontal="center"/>
    </xf>
    <xf numFmtId="0" fontId="14" fillId="0" borderId="0" xfId="0" applyFont="1" applyFill="1" applyAlignment="1">
      <alignment horizontal="right"/>
    </xf>
    <xf numFmtId="43" fontId="14" fillId="0" borderId="0" xfId="0" applyNumberFormat="1" applyFont="1" applyFill="1" applyAlignment="1">
      <alignment horizontal="right"/>
    </xf>
    <xf numFmtId="43" fontId="14" fillId="0" borderId="0" xfId="0" applyNumberFormat="1" applyFont="1" applyFill="1"/>
    <xf numFmtId="43" fontId="10" fillId="0" borderId="0" xfId="0" applyNumberFormat="1" applyFont="1" applyFill="1" applyAlignment="1">
      <alignment horizontal="center"/>
    </xf>
    <xf numFmtId="43" fontId="11" fillId="0" borderId="0" xfId="0" applyNumberFormat="1" applyFont="1" applyFill="1"/>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41" fontId="10" fillId="0" borderId="0" xfId="0" applyNumberFormat="1" applyFont="1" applyFill="1" applyBorder="1" applyAlignment="1"/>
    <xf numFmtId="41" fontId="10" fillId="0" borderId="0" xfId="0" applyNumberFormat="1" applyFont="1" applyFill="1" applyBorder="1" applyAlignment="1">
      <alignment horizontal="left"/>
    </xf>
    <xf numFmtId="165" fontId="10" fillId="0" borderId="0" xfId="0" applyNumberFormat="1" applyFont="1" applyFill="1"/>
    <xf numFmtId="3" fontId="10" fillId="0" borderId="0" xfId="0" applyNumberFormat="1" applyFont="1" applyFill="1"/>
    <xf numFmtId="41" fontId="10" fillId="0" borderId="0" xfId="0" quotePrefix="1" applyNumberFormat="1" applyFont="1" applyFill="1"/>
    <xf numFmtId="41" fontId="10" fillId="0" borderId="0" xfId="0" applyNumberFormat="1" applyFont="1" applyFill="1" applyAlignment="1">
      <alignment horizontal="left"/>
    </xf>
    <xf numFmtId="41" fontId="13" fillId="0" borderId="0" xfId="0" applyNumberFormat="1" applyFont="1" applyFill="1" applyAlignment="1">
      <alignment horizontal="center"/>
    </xf>
    <xf numFmtId="41" fontId="13" fillId="0" borderId="0" xfId="0" applyNumberFormat="1" applyFont="1" applyFill="1"/>
    <xf numFmtId="0" fontId="10" fillId="0" borderId="0" xfId="9" applyFont="1" applyFill="1" applyAlignment="1">
      <alignment horizontal="left"/>
    </xf>
    <xf numFmtId="0" fontId="15" fillId="0" borderId="0" xfId="0" applyFont="1" applyFill="1" applyAlignment="1">
      <alignment horizontal="center"/>
    </xf>
    <xf numFmtId="49" fontId="9" fillId="0" borderId="0" xfId="8" applyNumberFormat="1" applyFont="1" applyFill="1"/>
    <xf numFmtId="0" fontId="10" fillId="0" borderId="0" xfId="0" applyFont="1" applyFill="1" applyBorder="1"/>
    <xf numFmtId="0" fontId="13" fillId="0" borderId="0" xfId="0" applyFont="1" applyFill="1" applyBorder="1" applyAlignment="1">
      <alignment horizontal="center"/>
    </xf>
    <xf numFmtId="0" fontId="10" fillId="0" borderId="0" xfId="0" applyFont="1" applyFill="1" applyBorder="1" applyAlignment="1"/>
    <xf numFmtId="43" fontId="10" fillId="0" borderId="0" xfId="0" applyNumberFormat="1" applyFont="1" applyFill="1" applyBorder="1"/>
    <xf numFmtId="41" fontId="10" fillId="0" borderId="0" xfId="0" applyNumberFormat="1" applyFont="1" applyFill="1" applyAlignment="1"/>
    <xf numFmtId="41" fontId="10" fillId="0" borderId="0" xfId="2" applyNumberFormat="1" applyFont="1" applyFill="1"/>
    <xf numFmtId="0" fontId="21" fillId="0" borderId="0" xfId="0" applyFont="1" applyFill="1" applyAlignment="1"/>
    <xf numFmtId="3" fontId="14" fillId="0" borderId="0" xfId="0" applyNumberFormat="1" applyFont="1" applyFill="1"/>
    <xf numFmtId="165" fontId="11" fillId="0" borderId="0" xfId="0" applyNumberFormat="1" applyFont="1"/>
    <xf numFmtId="165" fontId="10" fillId="0" borderId="0" xfId="0" applyNumberFormat="1" applyFont="1"/>
    <xf numFmtId="1" fontId="10" fillId="0" borderId="0" xfId="0" applyNumberFormat="1" applyFont="1" applyFill="1"/>
    <xf numFmtId="168" fontId="10" fillId="0" borderId="0" xfId="11" applyNumberFormat="1" applyFont="1" applyFill="1" applyAlignment="1">
      <alignment horizontal="left"/>
    </xf>
    <xf numFmtId="41" fontId="14" fillId="0" borderId="0" xfId="0" applyNumberFormat="1" applyFont="1" applyFill="1" applyBorder="1"/>
    <xf numFmtId="41" fontId="10" fillId="0" borderId="0" xfId="0" applyNumberFormat="1" applyFont="1" applyFill="1" applyBorder="1" applyAlignment="1">
      <alignment horizontal="center"/>
    </xf>
    <xf numFmtId="41" fontId="10" fillId="0" borderId="0" xfId="0" applyNumberFormat="1" applyFont="1" applyFill="1" applyBorder="1" applyAlignment="1">
      <alignment horizontal="right"/>
    </xf>
    <xf numFmtId="41" fontId="10" fillId="0" borderId="0" xfId="2" applyNumberFormat="1" applyFont="1" applyFill="1" applyBorder="1"/>
    <xf numFmtId="38" fontId="10" fillId="0" borderId="0" xfId="0" applyNumberFormat="1" applyFont="1" applyFill="1"/>
    <xf numFmtId="164" fontId="10" fillId="0" borderId="0" xfId="0" applyNumberFormat="1" applyFont="1" applyFill="1" applyBorder="1"/>
    <xf numFmtId="3" fontId="10" fillId="0" borderId="0" xfId="0" applyNumberFormat="1" applyFont="1" applyFill="1" applyBorder="1"/>
    <xf numFmtId="41" fontId="16" fillId="0" borderId="0" xfId="0" applyNumberFormat="1" applyFont="1" applyFill="1"/>
    <xf numFmtId="0" fontId="9" fillId="0" borderId="2" xfId="0" applyFont="1" applyBorder="1" applyAlignment="1">
      <alignment horizontal="center"/>
    </xf>
    <xf numFmtId="0" fontId="10" fillId="0" borderId="2" xfId="0" applyFont="1" applyBorder="1"/>
    <xf numFmtId="0" fontId="14" fillId="0" borderId="2" xfId="0" applyFont="1" applyBorder="1"/>
    <xf numFmtId="41" fontId="10" fillId="0" borderId="2" xfId="0" applyNumberFormat="1" applyFont="1" applyBorder="1"/>
    <xf numFmtId="14" fontId="12" fillId="0" borderId="0" xfId="0" applyNumberFormat="1" applyFont="1" applyFill="1" applyBorder="1" applyAlignment="1">
      <alignment horizontal="center"/>
    </xf>
    <xf numFmtId="3" fontId="10" fillId="0" borderId="0" xfId="0" applyNumberFormat="1" applyFont="1" applyFill="1" applyBorder="1" applyAlignment="1" applyProtection="1">
      <alignment horizontal="left"/>
      <protection locked="0"/>
    </xf>
    <xf numFmtId="10" fontId="10" fillId="0" borderId="0" xfId="0" applyNumberFormat="1" applyFont="1" applyFill="1"/>
    <xf numFmtId="0" fontId="14" fillId="0" borderId="0" xfId="0" applyFont="1" applyFill="1" applyAlignment="1">
      <alignment horizontal="left"/>
    </xf>
    <xf numFmtId="0" fontId="13" fillId="0" borderId="0" xfId="0" quotePrefix="1" applyFont="1" applyFill="1" applyBorder="1" applyAlignment="1">
      <alignment horizontal="center"/>
    </xf>
    <xf numFmtId="0" fontId="22" fillId="0" borderId="0" xfId="0" applyFont="1" applyAlignment="1">
      <alignment horizontal="center"/>
    </xf>
    <xf numFmtId="0" fontId="22" fillId="0" borderId="0" xfId="0" applyFont="1"/>
    <xf numFmtId="0" fontId="22" fillId="0" borderId="0" xfId="0" applyFont="1" applyAlignment="1">
      <alignment horizontal="right"/>
    </xf>
    <xf numFmtId="0" fontId="24" fillId="0" borderId="0" xfId="0" applyFont="1" applyAlignment="1">
      <alignment horizontal="right"/>
    </xf>
    <xf numFmtId="0" fontId="24" fillId="0" borderId="0" xfId="0" applyFont="1" applyAlignment="1">
      <alignment horizontal="center"/>
    </xf>
    <xf numFmtId="14" fontId="24" fillId="0" borderId="0" xfId="0" applyNumberFormat="1" applyFont="1" applyAlignment="1">
      <alignment horizontal="center"/>
    </xf>
    <xf numFmtId="0" fontId="24" fillId="0" borderId="0" xfId="0" applyFont="1" applyFill="1" applyAlignment="1">
      <alignment horizontal="center"/>
    </xf>
    <xf numFmtId="41" fontId="22" fillId="0" borderId="0" xfId="0" applyNumberFormat="1" applyFont="1"/>
    <xf numFmtId="41" fontId="22" fillId="0" borderId="0" xfId="0" applyNumberFormat="1" applyFont="1" applyFill="1"/>
    <xf numFmtId="41" fontId="22" fillId="0" borderId="0" xfId="0" applyNumberFormat="1" applyFont="1" applyAlignment="1">
      <alignment vertical="justify"/>
    </xf>
    <xf numFmtId="0" fontId="22" fillId="0" borderId="0" xfId="0" applyFont="1" applyBorder="1"/>
    <xf numFmtId="41" fontId="24" fillId="0" borderId="0" xfId="0" applyNumberFormat="1" applyFont="1"/>
    <xf numFmtId="41" fontId="24" fillId="0" borderId="0" xfId="0" applyNumberFormat="1" applyFont="1" applyAlignment="1">
      <alignment vertical="justify"/>
    </xf>
    <xf numFmtId="41" fontId="24" fillId="0" borderId="0" xfId="0" applyNumberFormat="1" applyFont="1" applyFill="1"/>
    <xf numFmtId="41" fontId="25" fillId="0" borderId="0" xfId="0" applyNumberFormat="1" applyFont="1" applyFill="1"/>
    <xf numFmtId="41" fontId="25" fillId="0" borderId="0" xfId="0" applyNumberFormat="1" applyFont="1"/>
    <xf numFmtId="0" fontId="23" fillId="0" borderId="0" xfId="0" applyFont="1" applyAlignment="1"/>
    <xf numFmtId="0" fontId="23" fillId="0" borderId="0" xfId="0" applyFont="1" applyFill="1" applyAlignment="1"/>
    <xf numFmtId="41" fontId="23" fillId="0" borderId="0" xfId="0" applyNumberFormat="1" applyFont="1" applyAlignment="1"/>
    <xf numFmtId="41" fontId="23" fillId="0" borderId="0" xfId="0" applyNumberFormat="1" applyFont="1" applyFill="1" applyAlignment="1"/>
    <xf numFmtId="0" fontId="9" fillId="0" borderId="0" xfId="0" applyFont="1" applyFill="1" applyAlignment="1"/>
    <xf numFmtId="41" fontId="10" fillId="0" borderId="0" xfId="4" applyNumberFormat="1" applyFont="1" applyFill="1" applyBorder="1"/>
    <xf numFmtId="0" fontId="10" fillId="0" borderId="0" xfId="4" applyFont="1" applyFill="1" applyBorder="1"/>
    <xf numFmtId="0" fontId="10" fillId="0" borderId="0" xfId="0" applyNumberFormat="1" applyFont="1" applyFill="1"/>
    <xf numFmtId="0" fontId="18" fillId="0" borderId="0" xfId="0" applyFont="1"/>
    <xf numFmtId="0" fontId="22" fillId="0" borderId="0" xfId="0" applyFont="1" applyFill="1"/>
    <xf numFmtId="0" fontId="18" fillId="0" borderId="0" xfId="0" applyFont="1" applyFill="1"/>
    <xf numFmtId="0" fontId="13" fillId="0" borderId="0" xfId="0" applyFont="1" applyFill="1" applyAlignment="1">
      <alignment horizontal="left"/>
    </xf>
    <xf numFmtId="0" fontId="10" fillId="2" borderId="0" xfId="0" quotePrefix="1" applyFont="1" applyFill="1" applyAlignment="1">
      <alignment horizontal="right"/>
    </xf>
    <xf numFmtId="0" fontId="10" fillId="2" borderId="0" xfId="0" applyFont="1" applyFill="1"/>
    <xf numFmtId="41" fontId="10" fillId="2" borderId="0" xfId="0" applyNumberFormat="1" applyFont="1" applyFill="1"/>
    <xf numFmtId="43" fontId="10" fillId="2" borderId="0" xfId="0" applyNumberFormat="1" applyFont="1" applyFill="1"/>
    <xf numFmtId="0" fontId="10" fillId="2" borderId="0" xfId="0" applyFont="1" applyFill="1" applyAlignment="1">
      <alignment horizontal="right"/>
    </xf>
    <xf numFmtId="41" fontId="10" fillId="0" borderId="0" xfId="0" applyNumberFormat="1" applyFont="1" applyFill="1" applyBorder="1" applyAlignment="1" applyProtection="1">
      <protection locked="0"/>
    </xf>
    <xf numFmtId="41" fontId="14" fillId="0" borderId="0" xfId="0" applyNumberFormat="1" applyFont="1" applyFill="1" applyBorder="1" applyAlignment="1" applyProtection="1">
      <protection locked="0"/>
    </xf>
    <xf numFmtId="169" fontId="10" fillId="0" borderId="0" xfId="0" applyNumberFormat="1" applyFont="1" applyFill="1"/>
    <xf numFmtId="0" fontId="22" fillId="2" borderId="0" xfId="0" applyFont="1" applyFill="1"/>
    <xf numFmtId="41" fontId="22" fillId="2" borderId="0" xfId="0" applyNumberFormat="1" applyFont="1" applyFill="1"/>
    <xf numFmtId="41" fontId="22" fillId="2" borderId="0" xfId="0" applyNumberFormat="1" applyFont="1" applyFill="1" applyAlignment="1">
      <alignment vertical="justify"/>
    </xf>
    <xf numFmtId="0" fontId="22" fillId="2" borderId="0" xfId="0" applyFont="1" applyFill="1" applyAlignment="1">
      <alignment horizontal="left"/>
    </xf>
    <xf numFmtId="41" fontId="25" fillId="2" borderId="0" xfId="0" applyNumberFormat="1" applyFont="1" applyFill="1"/>
    <xf numFmtId="41" fontId="24" fillId="2" borderId="0" xfId="0" applyNumberFormat="1" applyFont="1" applyFill="1" applyAlignment="1">
      <alignment vertical="justify"/>
    </xf>
    <xf numFmtId="166" fontId="10" fillId="0" borderId="0" xfId="0" applyNumberFormat="1" applyFont="1" applyFill="1"/>
    <xf numFmtId="0" fontId="10" fillId="0" borderId="5" xfId="0" applyFont="1" applyFill="1" applyBorder="1"/>
    <xf numFmtId="43" fontId="10" fillId="0" borderId="0" xfId="0" applyNumberFormat="1" applyFont="1" applyFill="1" applyBorder="1" applyAlignment="1">
      <alignment horizontal="right"/>
    </xf>
    <xf numFmtId="0" fontId="10" fillId="2" borderId="5" xfId="0" applyFont="1" applyFill="1" applyBorder="1"/>
    <xf numFmtId="0" fontId="10" fillId="2" borderId="0" xfId="0" applyFont="1" applyFill="1" applyBorder="1"/>
    <xf numFmtId="43" fontId="10" fillId="2" borderId="0" xfId="0" applyNumberFormat="1" applyFont="1" applyFill="1" applyBorder="1"/>
    <xf numFmtId="41" fontId="10" fillId="2" borderId="0" xfId="0" applyNumberFormat="1" applyFont="1" applyFill="1" applyBorder="1"/>
    <xf numFmtId="0" fontId="10" fillId="2" borderId="6" xfId="0" applyFont="1" applyFill="1" applyBorder="1"/>
    <xf numFmtId="0" fontId="10" fillId="2" borderId="7" xfId="0" applyFont="1" applyFill="1" applyBorder="1"/>
    <xf numFmtId="43" fontId="10" fillId="2" borderId="7" xfId="0" applyNumberFormat="1" applyFont="1" applyFill="1" applyBorder="1"/>
    <xf numFmtId="41" fontId="10" fillId="2" borderId="7" xfId="0" applyNumberFormat="1" applyFont="1" applyFill="1" applyBorder="1"/>
    <xf numFmtId="0" fontId="10" fillId="0" borderId="6" xfId="0" applyFont="1" applyFill="1" applyBorder="1"/>
    <xf numFmtId="0" fontId="10" fillId="0" borderId="7" xfId="0" applyFont="1" applyFill="1" applyBorder="1"/>
    <xf numFmtId="43" fontId="10" fillId="0" borderId="7" xfId="0" applyNumberFormat="1" applyFont="1" applyFill="1" applyBorder="1"/>
    <xf numFmtId="41" fontId="10" fillId="0" borderId="7" xfId="0" applyNumberFormat="1" applyFont="1" applyFill="1" applyBorder="1"/>
    <xf numFmtId="3" fontId="10" fillId="2" borderId="0" xfId="0" applyNumberFormat="1" applyFont="1" applyFill="1" applyBorder="1"/>
    <xf numFmtId="43" fontId="14" fillId="2" borderId="7" xfId="0" applyNumberFormat="1" applyFont="1" applyFill="1" applyBorder="1"/>
    <xf numFmtId="41" fontId="14" fillId="2" borderId="7" xfId="0" applyNumberFormat="1" applyFont="1" applyFill="1" applyBorder="1"/>
    <xf numFmtId="41" fontId="10" fillId="2" borderId="0" xfId="0" applyNumberFormat="1" applyFont="1" applyFill="1" applyBorder="1" applyAlignment="1">
      <alignment horizontal="right"/>
    </xf>
    <xf numFmtId="41" fontId="11" fillId="2" borderId="7" xfId="0" applyNumberFormat="1" applyFont="1" applyFill="1" applyBorder="1"/>
    <xf numFmtId="41" fontId="10" fillId="0" borderId="9" xfId="0" applyNumberFormat="1" applyFont="1" applyFill="1" applyBorder="1"/>
    <xf numFmtId="41" fontId="10" fillId="2" borderId="9" xfId="0" applyNumberFormat="1" applyFont="1" applyFill="1" applyBorder="1"/>
    <xf numFmtId="0" fontId="10" fillId="0" borderId="2" xfId="0" applyFont="1" applyFill="1" applyBorder="1"/>
    <xf numFmtId="0" fontId="10" fillId="2" borderId="2" xfId="0" applyFont="1" applyFill="1" applyBorder="1"/>
    <xf numFmtId="41" fontId="10" fillId="0" borderId="2" xfId="0" applyNumberFormat="1" applyFont="1" applyFill="1" applyBorder="1"/>
    <xf numFmtId="41" fontId="10" fillId="2" borderId="2" xfId="0" applyNumberFormat="1" applyFont="1" applyFill="1" applyBorder="1"/>
    <xf numFmtId="0" fontId="10" fillId="0" borderId="2" xfId="0" quotePrefix="1" applyFont="1" applyFill="1" applyBorder="1" applyAlignment="1">
      <alignment horizontal="right"/>
    </xf>
    <xf numFmtId="0" fontId="10" fillId="2" borderId="2" xfId="0" quotePrefix="1" applyFont="1" applyFill="1" applyBorder="1" applyAlignment="1">
      <alignment horizontal="right"/>
    </xf>
    <xf numFmtId="41" fontId="10" fillId="2" borderId="10" xfId="0" applyNumberFormat="1" applyFont="1" applyFill="1" applyBorder="1"/>
    <xf numFmtId="41" fontId="10" fillId="0" borderId="10" xfId="0" applyNumberFormat="1" applyFont="1" applyFill="1" applyBorder="1"/>
    <xf numFmtId="41" fontId="10" fillId="2" borderId="2" xfId="0" applyNumberFormat="1" applyFont="1" applyFill="1" applyBorder="1" applyAlignment="1">
      <alignment horizontal="right"/>
    </xf>
    <xf numFmtId="41" fontId="10" fillId="0" borderId="2" xfId="0" applyNumberFormat="1" applyFont="1" applyFill="1" applyBorder="1" applyAlignment="1">
      <alignment horizontal="right"/>
    </xf>
    <xf numFmtId="41" fontId="11" fillId="2" borderId="2" xfId="0" applyNumberFormat="1" applyFont="1" applyFill="1" applyBorder="1"/>
    <xf numFmtId="41" fontId="11" fillId="2" borderId="2" xfId="0" applyNumberFormat="1" applyFont="1" applyFill="1" applyBorder="1" applyAlignment="1">
      <alignment horizontal="right"/>
    </xf>
    <xf numFmtId="41" fontId="11" fillId="0" borderId="2" xfId="0" applyNumberFormat="1" applyFont="1" applyFill="1" applyBorder="1" applyAlignment="1">
      <alignment horizontal="right"/>
    </xf>
    <xf numFmtId="41" fontId="10" fillId="0" borderId="0" xfId="5" applyNumberFormat="1" applyFont="1" applyFill="1"/>
    <xf numFmtId="41" fontId="10" fillId="0" borderId="0" xfId="5" applyNumberFormat="1" applyFont="1" applyFill="1" applyAlignment="1">
      <alignment horizontal="center" vertical="center"/>
    </xf>
    <xf numFmtId="41" fontId="11" fillId="0" borderId="0" xfId="5" applyNumberFormat="1" applyFont="1" applyFill="1"/>
    <xf numFmtId="41" fontId="11" fillId="0" borderId="0" xfId="5" applyNumberFormat="1" applyFont="1" applyFill="1" applyAlignment="1">
      <alignment horizontal="center" vertical="center"/>
    </xf>
    <xf numFmtId="0" fontId="14" fillId="0" borderId="0" xfId="0" applyFont="1" applyFill="1" applyAlignment="1">
      <alignment horizontal="center"/>
    </xf>
    <xf numFmtId="165" fontId="5" fillId="0" borderId="0" xfId="0" applyNumberFormat="1" applyFont="1"/>
    <xf numFmtId="0" fontId="30" fillId="0" borderId="0" xfId="5" applyFont="1" applyFill="1"/>
    <xf numFmtId="41" fontId="11" fillId="0" borderId="2" xfId="0" applyNumberFormat="1" applyFont="1" applyFill="1" applyBorder="1"/>
    <xf numFmtId="165" fontId="26" fillId="0" borderId="0" xfId="0" applyNumberFormat="1" applyFont="1"/>
    <xf numFmtId="165" fontId="0" fillId="0" borderId="0" xfId="0" applyNumberFormat="1"/>
    <xf numFmtId="167" fontId="10" fillId="0" borderId="0" xfId="0" applyNumberFormat="1" applyFont="1" applyFill="1"/>
    <xf numFmtId="43" fontId="9" fillId="0" borderId="0" xfId="0" applyNumberFormat="1" applyFont="1" applyFill="1"/>
    <xf numFmtId="170" fontId="10" fillId="0" borderId="0" xfId="0" applyNumberFormat="1" applyFont="1" applyFill="1"/>
    <xf numFmtId="3" fontId="10" fillId="0" borderId="0" xfId="0" applyNumberFormat="1" applyFont="1" applyFill="1" applyAlignment="1">
      <alignment horizontal="right"/>
    </xf>
    <xf numFmtId="3" fontId="11" fillId="0" borderId="0" xfId="0" applyNumberFormat="1" applyFont="1" applyFill="1" applyAlignment="1">
      <alignment horizontal="right"/>
    </xf>
    <xf numFmtId="0" fontId="10" fillId="2" borderId="0" xfId="0" quotePrefix="1" applyFont="1" applyFill="1" applyBorder="1" applyAlignment="1">
      <alignment horizontal="right"/>
    </xf>
    <xf numFmtId="0" fontId="10" fillId="0" borderId="0" xfId="0" quotePrefix="1" applyFont="1" applyFill="1" applyBorder="1" applyAlignment="1">
      <alignment horizontal="right"/>
    </xf>
    <xf numFmtId="43" fontId="10" fillId="2" borderId="0" xfId="1" applyNumberFormat="1" applyFont="1" applyFill="1" applyBorder="1"/>
    <xf numFmtId="43" fontId="10" fillId="0" borderId="0" xfId="1" applyNumberFormat="1" applyFont="1" applyFill="1" applyBorder="1"/>
    <xf numFmtId="41" fontId="10" fillId="0" borderId="9" xfId="0" applyNumberFormat="1" applyFont="1" applyFill="1" applyBorder="1" applyAlignment="1">
      <alignment horizontal="right"/>
    </xf>
    <xf numFmtId="41" fontId="10" fillId="2" borderId="9" xfId="0" applyNumberFormat="1" applyFont="1" applyFill="1" applyBorder="1" applyAlignment="1">
      <alignment horizontal="right"/>
    </xf>
    <xf numFmtId="41" fontId="10" fillId="0" borderId="11" xfId="0" applyNumberFormat="1" applyFont="1" applyFill="1" applyBorder="1"/>
    <xf numFmtId="41" fontId="10" fillId="2" borderId="11" xfId="0" applyNumberFormat="1" applyFont="1" applyFill="1" applyBorder="1"/>
    <xf numFmtId="41" fontId="10" fillId="2" borderId="11" xfId="0" applyNumberFormat="1" applyFont="1" applyFill="1" applyBorder="1" applyAlignment="1">
      <alignment horizontal="right"/>
    </xf>
    <xf numFmtId="41" fontId="10" fillId="0" borderId="11" xfId="0" applyNumberFormat="1" applyFont="1" applyFill="1" applyBorder="1" applyAlignment="1">
      <alignment horizontal="right"/>
    </xf>
    <xf numFmtId="41" fontId="11" fillId="0" borderId="11" xfId="0" applyNumberFormat="1" applyFont="1" applyFill="1" applyBorder="1"/>
    <xf numFmtId="41" fontId="10" fillId="0" borderId="0" xfId="10" applyNumberFormat="1" applyFont="1" applyFill="1" applyBorder="1"/>
    <xf numFmtId="41" fontId="10" fillId="2" borderId="0" xfId="10" applyNumberFormat="1" applyFont="1" applyFill="1" applyBorder="1"/>
    <xf numFmtId="41" fontId="14" fillId="2" borderId="2" xfId="0" applyNumberFormat="1" applyFont="1" applyFill="1" applyBorder="1"/>
    <xf numFmtId="41" fontId="14" fillId="0" borderId="2" xfId="0" applyNumberFormat="1" applyFont="1" applyFill="1" applyBorder="1"/>
    <xf numFmtId="41" fontId="14" fillId="2" borderId="2" xfId="0" applyNumberFormat="1" applyFont="1" applyFill="1" applyBorder="1" applyAlignment="1">
      <alignment horizontal="right"/>
    </xf>
    <xf numFmtId="41" fontId="14" fillId="0" borderId="2" xfId="0" applyNumberFormat="1" applyFont="1" applyFill="1" applyBorder="1" applyAlignment="1">
      <alignment horizontal="right"/>
    </xf>
    <xf numFmtId="0" fontId="10" fillId="0" borderId="0" xfId="6" applyFont="1" applyFill="1"/>
    <xf numFmtId="41" fontId="10" fillId="0" borderId="0" xfId="0" quotePrefix="1" applyNumberFormat="1" applyFont="1" applyFill="1" applyAlignment="1">
      <alignment horizontal="left"/>
    </xf>
    <xf numFmtId="14" fontId="13" fillId="0" borderId="0" xfId="0" applyNumberFormat="1" applyFont="1" applyFill="1" applyBorder="1" applyAlignment="1">
      <alignment horizontal="center"/>
    </xf>
    <xf numFmtId="41" fontId="13" fillId="0" borderId="0" xfId="0" applyNumberFormat="1" applyFont="1" applyFill="1" applyBorder="1" applyAlignment="1">
      <alignment horizontal="center"/>
    </xf>
    <xf numFmtId="0" fontId="27" fillId="0" borderId="0" xfId="0" applyFont="1" applyFill="1" applyAlignment="1"/>
    <xf numFmtId="41" fontId="9" fillId="0" borderId="0" xfId="0" applyNumberFormat="1" applyFont="1" applyFill="1" applyAlignment="1"/>
    <xf numFmtId="41" fontId="27" fillId="0" borderId="0" xfId="0" applyNumberFormat="1" applyFont="1" applyFill="1" applyAlignment="1"/>
    <xf numFmtId="0" fontId="27" fillId="0" borderId="0" xfId="0" applyFont="1" applyFill="1" applyBorder="1" applyAlignment="1"/>
    <xf numFmtId="41" fontId="15" fillId="0" borderId="0" xfId="0" applyNumberFormat="1" applyFont="1" applyFill="1"/>
    <xf numFmtId="0" fontId="28" fillId="0" borderId="0" xfId="0" applyFont="1" applyFill="1" applyAlignment="1">
      <alignment horizontal="right"/>
    </xf>
    <xf numFmtId="41" fontId="27" fillId="0" borderId="0" xfId="0" applyNumberFormat="1"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41" fontId="11" fillId="0" borderId="0" xfId="0" quotePrefix="1" applyNumberFormat="1" applyFont="1" applyFill="1" applyAlignment="1">
      <alignment horizontal="center"/>
    </xf>
    <xf numFmtId="43" fontId="14" fillId="0" borderId="0" xfId="0" applyNumberFormat="1" applyFont="1" applyFill="1" applyAlignment="1">
      <alignment horizontal="center"/>
    </xf>
    <xf numFmtId="0" fontId="10" fillId="0" borderId="0" xfId="0" applyFont="1" applyFill="1"/>
    <xf numFmtId="41" fontId="31" fillId="0" borderId="0" xfId="0" applyNumberFormat="1" applyFont="1"/>
    <xf numFmtId="41" fontId="0" fillId="0" borderId="0" xfId="0" applyNumberFormat="1"/>
    <xf numFmtId="41" fontId="32" fillId="0" borderId="0" xfId="0" applyNumberFormat="1" applyFont="1"/>
    <xf numFmtId="43" fontId="33" fillId="0" borderId="0" xfId="3" applyNumberFormat="1" applyFont="1" applyAlignment="1" applyProtection="1"/>
    <xf numFmtId="41" fontId="10" fillId="0" borderId="0" xfId="0" quotePrefix="1" applyNumberFormat="1" applyFont="1" applyFill="1" applyBorder="1"/>
    <xf numFmtId="10" fontId="10" fillId="0" borderId="0" xfId="0" applyNumberFormat="1" applyFont="1" applyFill="1" applyBorder="1"/>
    <xf numFmtId="0" fontId="22" fillId="0" borderId="0" xfId="0" applyFont="1" applyAlignment="1">
      <alignment horizontal="center"/>
    </xf>
    <xf numFmtId="8" fontId="4" fillId="0" borderId="0" xfId="7" applyNumberFormat="1" applyFont="1" applyFill="1"/>
    <xf numFmtId="0" fontId="4" fillId="0" borderId="0" xfId="0" applyFont="1" applyFill="1"/>
    <xf numFmtId="0" fontId="10" fillId="0" borderId="0" xfId="0" applyFont="1" applyFill="1"/>
    <xf numFmtId="0" fontId="10" fillId="0" borderId="0" xfId="0" applyFont="1" applyFill="1"/>
    <xf numFmtId="0" fontId="10" fillId="0" borderId="0" xfId="0" applyFont="1" applyFill="1" applyBorder="1" applyAlignment="1">
      <alignment wrapText="1"/>
    </xf>
    <xf numFmtId="41" fontId="10" fillId="0" borderId="0" xfId="0" applyNumberFormat="1" applyFont="1" applyFill="1" applyAlignment="1">
      <alignment wrapText="1"/>
    </xf>
    <xf numFmtId="0" fontId="10" fillId="0" borderId="0" xfId="0" applyFont="1" applyFill="1"/>
    <xf numFmtId="171" fontId="10" fillId="0" borderId="0" xfId="12" applyNumberFormat="1" applyFont="1" applyFill="1"/>
    <xf numFmtId="41" fontId="11" fillId="2" borderId="10" xfId="0" applyNumberFormat="1" applyFont="1" applyFill="1" applyBorder="1"/>
    <xf numFmtId="0" fontId="10" fillId="0" borderId="0" xfId="0" applyFont="1" applyFill="1"/>
    <xf numFmtId="0" fontId="22" fillId="0" borderId="0" xfId="0" applyFont="1" applyAlignment="1">
      <alignment horizontal="center"/>
    </xf>
    <xf numFmtId="41" fontId="4" fillId="0" borderId="0" xfId="7" applyNumberFormat="1" applyFont="1" applyFill="1"/>
    <xf numFmtId="3" fontId="10" fillId="0" borderId="0" xfId="0" quotePrefix="1" applyNumberFormat="1" applyFont="1" applyFill="1"/>
    <xf numFmtId="41" fontId="10" fillId="0" borderId="1" xfId="0" quotePrefix="1" applyNumberFormat="1" applyFont="1" applyFill="1" applyBorder="1"/>
    <xf numFmtId="0" fontId="10" fillId="0" borderId="0" xfId="0" applyFont="1" applyFill="1"/>
    <xf numFmtId="0" fontId="9" fillId="0" borderId="0" xfId="0" applyFont="1" applyFill="1" applyBorder="1" applyAlignment="1">
      <alignment horizontal="center"/>
    </xf>
    <xf numFmtId="0" fontId="9" fillId="0" borderId="0" xfId="0" applyFont="1" applyFill="1" applyBorder="1" applyAlignment="1">
      <alignment horizontal="left"/>
    </xf>
    <xf numFmtId="3" fontId="9" fillId="0" borderId="0" xfId="0" applyNumberFormat="1" applyFont="1" applyFill="1"/>
    <xf numFmtId="41" fontId="9" fillId="0" borderId="0" xfId="0" applyNumberFormat="1" applyFont="1" applyFill="1" applyAlignment="1">
      <alignment horizontal="center" vertical="center"/>
    </xf>
    <xf numFmtId="41" fontId="30" fillId="0" borderId="0" xfId="5" applyNumberFormat="1" applyFont="1" applyFill="1"/>
    <xf numFmtId="0" fontId="12" fillId="0" borderId="0" xfId="0" applyFont="1" applyFill="1" applyAlignment="1">
      <alignment horizontal="center"/>
    </xf>
    <xf numFmtId="41" fontId="9" fillId="0" borderId="0" xfId="0" quotePrefix="1" applyNumberFormat="1" applyFont="1" applyFill="1"/>
    <xf numFmtId="0" fontId="10" fillId="0" borderId="0" xfId="0" applyFont="1" applyFill="1"/>
    <xf numFmtId="0" fontId="10" fillId="0" borderId="0" xfId="0" applyFont="1" applyFill="1"/>
    <xf numFmtId="0" fontId="13" fillId="0" borderId="0" xfId="0" applyFont="1" applyFill="1" applyAlignment="1">
      <alignment horizontal="center"/>
    </xf>
    <xf numFmtId="0" fontId="10" fillId="0" borderId="0" xfId="0" applyFont="1" applyFill="1" applyBorder="1" applyAlignment="1">
      <alignment horizontal="right"/>
    </xf>
    <xf numFmtId="0" fontId="14" fillId="0" borderId="0" xfId="0" applyFont="1" applyFill="1" applyBorder="1" applyAlignment="1">
      <alignment horizontal="right"/>
    </xf>
    <xf numFmtId="43"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41" fontId="14" fillId="0" borderId="0" xfId="0" applyNumberFormat="1" applyFont="1" applyFill="1" applyBorder="1" applyAlignment="1">
      <alignment horizontal="right"/>
    </xf>
    <xf numFmtId="43" fontId="12" fillId="0" borderId="0" xfId="0" applyNumberFormat="1" applyFont="1" applyFill="1" applyBorder="1" applyAlignment="1">
      <alignment horizontal="center"/>
    </xf>
    <xf numFmtId="43" fontId="14" fillId="2" borderId="0" xfId="0" applyNumberFormat="1" applyFont="1" applyFill="1" applyBorder="1"/>
    <xf numFmtId="41" fontId="14" fillId="2" borderId="0" xfId="0" applyNumberFormat="1" applyFont="1" applyFill="1" applyBorder="1"/>
    <xf numFmtId="41" fontId="11" fillId="2" borderId="0" xfId="0" applyNumberFormat="1" applyFont="1" applyFill="1" applyBorder="1"/>
    <xf numFmtId="43" fontId="10" fillId="0" borderId="0" xfId="0" applyNumberFormat="1" applyFont="1" applyFill="1" applyBorder="1" applyAlignment="1"/>
    <xf numFmtId="43" fontId="9" fillId="0" borderId="0" xfId="0" applyNumberFormat="1" applyFont="1" applyFill="1" applyBorder="1" applyAlignment="1">
      <alignment horizontal="center"/>
    </xf>
    <xf numFmtId="41" fontId="9" fillId="0" borderId="0" xfId="0" applyNumberFormat="1" applyFont="1" applyFill="1" applyBorder="1" applyAlignment="1">
      <alignment horizontal="center"/>
    </xf>
    <xf numFmtId="41" fontId="9" fillId="2" borderId="0" xfId="0" applyNumberFormat="1" applyFont="1" applyFill="1" applyBorder="1"/>
    <xf numFmtId="43" fontId="14" fillId="0" borderId="0" xfId="0" applyNumberFormat="1" applyFont="1" applyFill="1" applyBorder="1"/>
    <xf numFmtId="0" fontId="10" fillId="0" borderId="0" xfId="0" applyFont="1" applyFill="1" applyBorder="1" applyAlignment="1">
      <alignment horizontal="center"/>
    </xf>
    <xf numFmtId="43" fontId="10" fillId="0" borderId="0" xfId="0" applyNumberFormat="1" applyFont="1" applyFill="1" applyBorder="1" applyAlignment="1">
      <alignment horizontal="center"/>
    </xf>
    <xf numFmtId="43" fontId="11" fillId="2" borderId="0" xfId="0" applyNumberFormat="1" applyFont="1" applyFill="1" applyBorder="1"/>
    <xf numFmtId="41" fontId="11" fillId="2" borderId="0" xfId="0" applyNumberFormat="1" applyFont="1" applyFill="1" applyBorder="1" applyAlignment="1">
      <alignment horizontal="right"/>
    </xf>
    <xf numFmtId="0" fontId="9" fillId="2" borderId="0" xfId="0" applyFont="1" applyFill="1" applyBorder="1"/>
    <xf numFmtId="0" fontId="10" fillId="0" borderId="5" xfId="0" applyFont="1" applyFill="1" applyBorder="1" applyAlignment="1">
      <alignment horizontal="right"/>
    </xf>
    <xf numFmtId="0" fontId="14" fillId="0" borderId="5" xfId="0" applyFont="1" applyFill="1" applyBorder="1" applyAlignment="1">
      <alignment horizontal="right"/>
    </xf>
    <xf numFmtId="0" fontId="10" fillId="0" borderId="3" xfId="0" applyFont="1" applyFill="1" applyBorder="1"/>
    <xf numFmtId="0" fontId="10" fillId="0" borderId="4" xfId="0" applyFont="1" applyFill="1" applyBorder="1"/>
    <xf numFmtId="43" fontId="10" fillId="0" borderId="4" xfId="0" applyNumberFormat="1" applyFont="1" applyFill="1" applyBorder="1"/>
    <xf numFmtId="41" fontId="10" fillId="0" borderId="4" xfId="0" applyNumberFormat="1" applyFont="1" applyFill="1" applyBorder="1"/>
    <xf numFmtId="41" fontId="10" fillId="0" borderId="8" xfId="0" applyNumberFormat="1" applyFont="1" applyFill="1" applyBorder="1"/>
    <xf numFmtId="0" fontId="10" fillId="0" borderId="5" xfId="0" quotePrefix="1" applyFont="1" applyFill="1" applyBorder="1" applyAlignment="1">
      <alignment horizontal="right"/>
    </xf>
    <xf numFmtId="0" fontId="10" fillId="0" borderId="3" xfId="0" applyFont="1" applyFill="1" applyBorder="1" applyAlignment="1">
      <alignment horizontal="right"/>
    </xf>
    <xf numFmtId="0" fontId="10" fillId="0" borderId="4" xfId="0" applyFont="1" applyFill="1" applyBorder="1" applyAlignment="1">
      <alignment horizontal="right"/>
    </xf>
    <xf numFmtId="43" fontId="10" fillId="0" borderId="4" xfId="0" applyNumberFormat="1" applyFont="1" applyFill="1" applyBorder="1" applyAlignment="1">
      <alignment horizontal="right"/>
    </xf>
    <xf numFmtId="41" fontId="10" fillId="0" borderId="4" xfId="0" applyNumberFormat="1" applyFont="1" applyFill="1" applyBorder="1" applyAlignment="1">
      <alignment horizontal="right"/>
    </xf>
    <xf numFmtId="41" fontId="10" fillId="0" borderId="4" xfId="0" applyNumberFormat="1" applyFont="1" applyFill="1" applyBorder="1" applyAlignment="1">
      <alignment horizontal="center"/>
    </xf>
    <xf numFmtId="0" fontId="10" fillId="0" borderId="5" xfId="0" applyFont="1" applyFill="1" applyBorder="1" applyAlignment="1"/>
    <xf numFmtId="0" fontId="10" fillId="0" borderId="6" xfId="0" applyFont="1" applyFill="1" applyBorder="1" applyAlignment="1"/>
    <xf numFmtId="0" fontId="10" fillId="0" borderId="7" xfId="0" applyFont="1" applyFill="1" applyBorder="1" applyAlignment="1"/>
    <xf numFmtId="43" fontId="10" fillId="0" borderId="7" xfId="0" applyNumberFormat="1" applyFont="1" applyFill="1" applyBorder="1" applyAlignment="1"/>
    <xf numFmtId="0" fontId="10" fillId="2" borderId="7" xfId="0" quotePrefix="1" applyFont="1" applyFill="1" applyBorder="1" applyAlignment="1">
      <alignment horizontal="right"/>
    </xf>
    <xf numFmtId="41" fontId="11" fillId="0" borderId="0" xfId="0" applyNumberFormat="1" applyFont="1" applyFill="1" applyAlignment="1">
      <alignment horizontal="center"/>
    </xf>
    <xf numFmtId="172" fontId="10" fillId="0" borderId="0" xfId="0" applyNumberFormat="1" applyFont="1" applyFill="1"/>
    <xf numFmtId="0" fontId="10" fillId="0" borderId="0" xfId="0" applyFont="1" applyFill="1"/>
    <xf numFmtId="0" fontId="22" fillId="0" borderId="0" xfId="0" applyFont="1" applyAlignment="1">
      <alignment horizontal="center"/>
    </xf>
    <xf numFmtId="2" fontId="10" fillId="0" borderId="0" xfId="0" applyNumberFormat="1" applyFont="1" applyFill="1"/>
    <xf numFmtId="0" fontId="10" fillId="0" borderId="0" xfId="0" applyFont="1" applyFill="1"/>
    <xf numFmtId="8" fontId="10" fillId="0" borderId="0" xfId="0" applyNumberFormat="1" applyFont="1" applyFill="1"/>
    <xf numFmtId="41" fontId="10" fillId="0" borderId="0" xfId="6" applyNumberFormat="1" applyFont="1" applyFill="1" applyBorder="1"/>
    <xf numFmtId="9" fontId="10" fillId="0" borderId="0" xfId="0" applyNumberFormat="1" applyFont="1" applyFill="1" applyBorder="1"/>
    <xf numFmtId="6" fontId="10" fillId="0" borderId="0" xfId="0" applyNumberFormat="1" applyFont="1" applyFill="1"/>
    <xf numFmtId="41" fontId="4" fillId="0" borderId="0" xfId="0" applyNumberFormat="1" applyFont="1" applyFill="1"/>
    <xf numFmtId="0" fontId="10" fillId="0" borderId="0" xfId="0" applyFont="1" applyFill="1"/>
    <xf numFmtId="0" fontId="18" fillId="0" borderId="0" xfId="0" applyFont="1" applyFill="1" applyAlignment="1">
      <alignment vertical="center"/>
    </xf>
    <xf numFmtId="0" fontId="10" fillId="0" borderId="0" xfId="0" applyFont="1" applyFill="1"/>
    <xf numFmtId="41" fontId="11" fillId="0" borderId="0" xfId="0" applyNumberFormat="1" applyFont="1" applyFill="1" applyAlignment="1">
      <alignment horizontal="center"/>
    </xf>
    <xf numFmtId="0" fontId="10" fillId="0" borderId="0" xfId="0" applyFont="1" applyFill="1"/>
    <xf numFmtId="0" fontId="9" fillId="0" borderId="0" xfId="0" applyFont="1" applyFill="1" applyAlignment="1">
      <alignment horizontal="center"/>
    </xf>
    <xf numFmtId="0" fontId="10" fillId="0" borderId="0" xfId="0" applyFont="1" applyFill="1"/>
    <xf numFmtId="0" fontId="13" fillId="0" borderId="0" xfId="0" applyFont="1" applyFill="1" applyAlignment="1">
      <alignment horizontal="center"/>
    </xf>
    <xf numFmtId="0" fontId="27" fillId="0" borderId="0" xfId="13" applyFont="1" applyFill="1" applyAlignment="1"/>
    <xf numFmtId="41" fontId="10" fillId="0" borderId="0" xfId="13" applyNumberFormat="1" applyFont="1" applyFill="1"/>
    <xf numFmtId="9" fontId="10" fillId="0" borderId="0" xfId="13" applyNumberFormat="1" applyFont="1" applyFill="1"/>
    <xf numFmtId="0" fontId="13" fillId="0" borderId="0" xfId="14" applyFont="1" applyFill="1" applyBorder="1" applyAlignment="1">
      <alignment horizontal="center"/>
    </xf>
    <xf numFmtId="41" fontId="35" fillId="0" borderId="0" xfId="14" applyNumberFormat="1" applyFont="1" applyFill="1" applyBorder="1"/>
    <xf numFmtId="41" fontId="10" fillId="0" borderId="0" xfId="14" applyNumberFormat="1" applyFont="1" applyFill="1" applyBorder="1"/>
    <xf numFmtId="0" fontId="10" fillId="0" borderId="0" xfId="14" applyFont="1" applyFill="1" applyBorder="1"/>
    <xf numFmtId="41" fontId="9" fillId="0" borderId="0" xfId="14" applyNumberFormat="1" applyFont="1" applyFill="1" applyBorder="1"/>
    <xf numFmtId="0" fontId="10" fillId="0" borderId="0" xfId="14" applyNumberFormat="1" applyFont="1" applyFill="1" applyBorder="1" applyAlignment="1">
      <alignment horizontal="left"/>
    </xf>
    <xf numFmtId="41" fontId="11" fillId="0" borderId="0" xfId="14" applyNumberFormat="1" applyFont="1" applyFill="1" applyBorder="1"/>
    <xf numFmtId="43" fontId="10" fillId="0" borderId="0" xfId="13" applyNumberFormat="1" applyFont="1" applyFill="1"/>
    <xf numFmtId="43" fontId="10" fillId="0" borderId="0" xfId="14" applyNumberFormat="1" applyFont="1" applyFill="1" applyBorder="1"/>
    <xf numFmtId="0" fontId="13" fillId="0" borderId="0" xfId="13" applyFont="1" applyFill="1" applyAlignment="1">
      <alignment horizontal="center"/>
    </xf>
    <xf numFmtId="0" fontId="10" fillId="0" borderId="0" xfId="14" applyFont="1" applyFill="1" applyBorder="1" applyAlignment="1">
      <alignment horizontal="left"/>
    </xf>
    <xf numFmtId="0" fontId="10" fillId="0" borderId="0" xfId="14" quotePrefix="1" applyFont="1" applyFill="1" applyBorder="1"/>
    <xf numFmtId="164" fontId="10" fillId="0" borderId="0" xfId="14" applyNumberFormat="1" applyFont="1" applyFill="1" applyBorder="1"/>
    <xf numFmtId="0" fontId="10" fillId="0" borderId="0" xfId="14" applyFont="1" applyFill="1" applyBorder="1" applyAlignment="1"/>
    <xf numFmtId="14" fontId="13" fillId="0" borderId="0" xfId="14" applyNumberFormat="1" applyFont="1" applyFill="1" applyBorder="1" applyAlignment="1">
      <alignment horizontal="center"/>
    </xf>
    <xf numFmtId="41" fontId="10" fillId="0" borderId="0" xfId="14" applyNumberFormat="1" applyFont="1" applyFill="1" applyBorder="1" applyAlignment="1">
      <alignment horizontal="left"/>
    </xf>
    <xf numFmtId="3" fontId="10" fillId="0" borderId="0" xfId="13" applyNumberFormat="1" applyFont="1" applyFill="1"/>
    <xf numFmtId="41" fontId="10" fillId="0" borderId="0" xfId="14" applyNumberFormat="1" applyFont="1" applyFill="1" applyBorder="1" applyProtection="1">
      <protection locked="0"/>
    </xf>
    <xf numFmtId="41" fontId="10" fillId="0" borderId="1" xfId="14" applyNumberFormat="1" applyFont="1" applyFill="1" applyBorder="1"/>
    <xf numFmtId="41" fontId="10" fillId="0" borderId="1" xfId="13" applyNumberFormat="1" applyFont="1" applyFill="1" applyBorder="1"/>
    <xf numFmtId="41" fontId="10" fillId="0" borderId="0" xfId="13" applyNumberFormat="1" applyFont="1" applyFill="1" applyBorder="1"/>
    <xf numFmtId="0" fontId="10" fillId="0" borderId="0" xfId="13" applyFont="1" applyFill="1" applyBorder="1"/>
    <xf numFmtId="170" fontId="14" fillId="0" borderId="0" xfId="0" applyNumberFormat="1" applyFont="1" applyFill="1"/>
    <xf numFmtId="171" fontId="10" fillId="0" borderId="0" xfId="0" applyNumberFormat="1" applyFont="1" applyFill="1"/>
    <xf numFmtId="171" fontId="10" fillId="0" borderId="1" xfId="0" applyNumberFormat="1" applyFont="1" applyFill="1" applyBorder="1"/>
    <xf numFmtId="41" fontId="13" fillId="0" borderId="0" xfId="14" applyNumberFormat="1" applyFont="1" applyFill="1" applyBorder="1" applyAlignment="1">
      <alignment horizontal="center"/>
    </xf>
    <xf numFmtId="41" fontId="10" fillId="0" borderId="0" xfId="14" applyNumberFormat="1" applyFont="1" applyFill="1" applyBorder="1" applyAlignment="1">
      <alignment horizontal="right"/>
    </xf>
    <xf numFmtId="41" fontId="9" fillId="0" borderId="0" xfId="14" applyNumberFormat="1" applyFont="1" applyFill="1" applyBorder="1" applyAlignment="1">
      <alignment horizontal="right"/>
    </xf>
    <xf numFmtId="41" fontId="12" fillId="0" borderId="0" xfId="0" applyNumberFormat="1" applyFont="1" applyFill="1" applyBorder="1" applyAlignment="1">
      <alignment horizontal="center"/>
    </xf>
    <xf numFmtId="41" fontId="20" fillId="0" borderId="0" xfId="0" applyNumberFormat="1" applyFont="1" applyFill="1" applyBorder="1" applyAlignment="1">
      <alignment horizontal="center"/>
    </xf>
    <xf numFmtId="41" fontId="11"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0" fontId="9" fillId="0" borderId="0" xfId="0" applyFont="1" applyFill="1" applyBorder="1" applyAlignment="1">
      <alignment horizontal="right"/>
    </xf>
    <xf numFmtId="41" fontId="15" fillId="0" borderId="0" xfId="14" applyNumberFormat="1" applyFont="1" applyFill="1" applyAlignment="1">
      <alignment horizontal="center"/>
    </xf>
    <xf numFmtId="41" fontId="10" fillId="0" borderId="0" xfId="14" applyNumberFormat="1" applyFont="1" applyFill="1"/>
    <xf numFmtId="41" fontId="10" fillId="0" borderId="0" xfId="14" applyNumberFormat="1" applyFont="1" applyFill="1" applyAlignment="1">
      <alignment horizontal="right"/>
    </xf>
    <xf numFmtId="173" fontId="10" fillId="0" borderId="0" xfId="0" applyNumberFormat="1" applyFont="1" applyFill="1"/>
    <xf numFmtId="41" fontId="14" fillId="0" borderId="1" xfId="0" applyNumberFormat="1" applyFont="1" applyFill="1" applyBorder="1"/>
    <xf numFmtId="0" fontId="4" fillId="0" borderId="0" xfId="0" quotePrefix="1" applyFont="1" applyFill="1"/>
    <xf numFmtId="174" fontId="10" fillId="0" borderId="0" xfId="2" applyNumberFormat="1" applyFont="1" applyFill="1"/>
    <xf numFmtId="0" fontId="9" fillId="0" borderId="0" xfId="0" applyFont="1" applyFill="1" applyAlignment="1">
      <alignment horizontal="center"/>
    </xf>
    <xf numFmtId="0" fontId="10" fillId="0" borderId="0" xfId="0" applyFont="1" applyFill="1"/>
    <xf numFmtId="0" fontId="10" fillId="0" borderId="0" xfId="13" applyFont="1" applyFill="1"/>
    <xf numFmtId="0" fontId="13" fillId="0" borderId="0" xfId="0" applyFont="1" applyFill="1" applyAlignment="1">
      <alignment horizontal="center"/>
    </xf>
    <xf numFmtId="0" fontId="10" fillId="0" borderId="0" xfId="0" applyFont="1" applyFill="1"/>
    <xf numFmtId="0" fontId="21" fillId="0" borderId="0" xfId="0" applyFont="1" applyFill="1"/>
    <xf numFmtId="41" fontId="36" fillId="0" borderId="0" xfId="0" applyNumberFormat="1" applyFont="1" applyFill="1"/>
    <xf numFmtId="0" fontId="37" fillId="0" borderId="0" xfId="0" applyFont="1" applyFill="1"/>
    <xf numFmtId="41" fontId="38" fillId="0" borderId="0" xfId="0" applyNumberFormat="1" applyFont="1" applyFill="1"/>
    <xf numFmtId="41" fontId="39" fillId="0" borderId="0" xfId="0" applyNumberFormat="1" applyFont="1" applyFill="1"/>
    <xf numFmtId="41" fontId="10" fillId="0" borderId="8" xfId="0" applyNumberFormat="1" applyFont="1" applyFill="1" applyBorder="1" applyAlignment="1">
      <alignment horizontal="center"/>
    </xf>
    <xf numFmtId="41" fontId="14" fillId="0" borderId="9" xfId="0" applyNumberFormat="1" applyFont="1" applyFill="1" applyBorder="1" applyAlignment="1">
      <alignment horizontal="center"/>
    </xf>
    <xf numFmtId="169" fontId="10" fillId="0" borderId="2" xfId="0" applyNumberFormat="1" applyFont="1" applyBorder="1"/>
    <xf numFmtId="175" fontId="10" fillId="0" borderId="2" xfId="0" applyNumberFormat="1" applyFont="1" applyBorder="1"/>
    <xf numFmtId="41" fontId="11" fillId="0" borderId="2" xfId="0" applyNumberFormat="1" applyFont="1" applyBorder="1"/>
    <xf numFmtId="0" fontId="10" fillId="2" borderId="2" xfId="0" applyFont="1" applyFill="1" applyBorder="1" applyAlignment="1">
      <alignment horizontal="right"/>
    </xf>
    <xf numFmtId="41" fontId="11" fillId="0" borderId="0" xfId="0" applyNumberFormat="1" applyFont="1" applyFill="1" applyAlignment="1">
      <alignment horizontal="center"/>
    </xf>
    <xf numFmtId="0" fontId="10" fillId="0" borderId="0" xfId="0" applyFont="1" applyFill="1"/>
    <xf numFmtId="0" fontId="22" fillId="0" borderId="0" xfId="0" applyFont="1" applyAlignment="1">
      <alignment horizontal="center"/>
    </xf>
    <xf numFmtId="0" fontId="10" fillId="0" borderId="0" xfId="0" applyFont="1" applyFill="1"/>
    <xf numFmtId="41" fontId="11" fillId="0" borderId="0" xfId="0" applyNumberFormat="1" applyFont="1" applyFill="1" applyAlignment="1">
      <alignment horizontal="center"/>
    </xf>
    <xf numFmtId="41" fontId="13" fillId="0" borderId="0" xfId="0" applyNumberFormat="1" applyFont="1" applyFill="1" applyAlignment="1">
      <alignment horizontal="left"/>
    </xf>
    <xf numFmtId="0" fontId="0" fillId="0" borderId="1" xfId="0" applyBorder="1"/>
    <xf numFmtId="0" fontId="10" fillId="0" borderId="0" xfId="13"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0" fontId="12" fillId="0" borderId="0" xfId="0" applyFont="1" applyFill="1" applyAlignment="1">
      <alignment horizontal="left"/>
    </xf>
    <xf numFmtId="0" fontId="40" fillId="0" borderId="0" xfId="0" applyFont="1"/>
    <xf numFmtId="174" fontId="10" fillId="0" borderId="0" xfId="2" applyNumberFormat="1" applyFont="1" applyFill="1" applyBorder="1"/>
    <xf numFmtId="174" fontId="38" fillId="0" borderId="0" xfId="2" applyNumberFormat="1" applyFont="1" applyFill="1"/>
    <xf numFmtId="43" fontId="38" fillId="0" borderId="0" xfId="15" applyNumberFormat="1" applyFont="1" applyFill="1"/>
    <xf numFmtId="174" fontId="11" fillId="0" borderId="0" xfId="2" applyNumberFormat="1" applyFont="1" applyFill="1"/>
    <xf numFmtId="0" fontId="9" fillId="0" borderId="0" xfId="13" quotePrefix="1" applyFont="1" applyFill="1"/>
    <xf numFmtId="0" fontId="10" fillId="4" borderId="0" xfId="0"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0" fontId="13" fillId="0" borderId="0" xfId="0" applyFont="1" applyFill="1" applyAlignment="1">
      <alignment horizontal="center"/>
    </xf>
    <xf numFmtId="0" fontId="4" fillId="0" borderId="0" xfId="14" applyFont="1" applyFill="1"/>
    <xf numFmtId="0" fontId="44" fillId="0" borderId="0" xfId="0" applyFont="1" applyAlignment="1">
      <alignment horizontal="center"/>
    </xf>
    <xf numFmtId="3" fontId="40" fillId="0" borderId="0" xfId="0" applyNumberFormat="1" applyFont="1"/>
    <xf numFmtId="3" fontId="40" fillId="0" borderId="0" xfId="0" applyNumberFormat="1" applyFont="1" applyFill="1"/>
    <xf numFmtId="3" fontId="40" fillId="0" borderId="0" xfId="0" applyNumberFormat="1" applyFont="1" applyFill="1" applyBorder="1"/>
    <xf numFmtId="0" fontId="10" fillId="0" borderId="0" xfId="0" applyFont="1" applyFill="1"/>
    <xf numFmtId="0" fontId="13" fillId="0" borderId="0" xfId="0" applyFont="1" applyFill="1" applyAlignment="1">
      <alignment horizontal="center"/>
    </xf>
    <xf numFmtId="0" fontId="40" fillId="0" borderId="0" xfId="0" applyFont="1" applyFill="1" applyBorder="1"/>
    <xf numFmtId="3" fontId="45" fillId="0" borderId="0" xfId="0" applyNumberFormat="1" applyFont="1" applyFill="1" applyBorder="1"/>
    <xf numFmtId="0" fontId="10" fillId="0" borderId="0" xfId="0" applyFont="1" applyFill="1"/>
    <xf numFmtId="170" fontId="40" fillId="0" borderId="0" xfId="0" applyNumberFormat="1" applyFont="1"/>
    <xf numFmtId="43" fontId="40" fillId="0" borderId="0" xfId="0" applyNumberFormat="1" applyFont="1"/>
    <xf numFmtId="0" fontId="41" fillId="0" borderId="0" xfId="0" applyFont="1"/>
    <xf numFmtId="44" fontId="40" fillId="0" borderId="0" xfId="0" applyNumberFormat="1" applyFont="1"/>
    <xf numFmtId="0" fontId="47" fillId="0" borderId="0" xfId="0" applyFont="1"/>
    <xf numFmtId="169" fontId="10" fillId="0" borderId="0" xfId="0" applyNumberFormat="1" applyFont="1"/>
    <xf numFmtId="0" fontId="10" fillId="0" borderId="0" xfId="0" applyFont="1" applyFill="1"/>
    <xf numFmtId="0" fontId="10" fillId="0" borderId="0" xfId="0" applyFont="1" applyFill="1"/>
    <xf numFmtId="0" fontId="9" fillId="0" borderId="2" xfId="0" applyFont="1" applyBorder="1" applyAlignment="1">
      <alignment horizontal="center"/>
    </xf>
    <xf numFmtId="0" fontId="10" fillId="0" borderId="0" xfId="0" applyFont="1" applyFill="1"/>
    <xf numFmtId="0" fontId="10" fillId="0" borderId="0" xfId="0" applyFont="1" applyBorder="1" applyAlignment="1"/>
    <xf numFmtId="0" fontId="10" fillId="0" borderId="0" xfId="0" applyFont="1" applyBorder="1"/>
    <xf numFmtId="0" fontId="14" fillId="0" borderId="0" xfId="0" applyFont="1" applyBorder="1"/>
    <xf numFmtId="41" fontId="10" fillId="0" borderId="0" xfId="0" applyNumberFormat="1" applyFont="1" applyBorder="1"/>
    <xf numFmtId="41" fontId="11" fillId="0" borderId="0" xfId="0" applyNumberFormat="1" applyFont="1" applyBorder="1"/>
    <xf numFmtId="175" fontId="10" fillId="0" borderId="0" xfId="0" applyNumberFormat="1" applyFont="1" applyBorder="1"/>
    <xf numFmtId="169" fontId="10" fillId="0" borderId="0" xfId="0" applyNumberFormat="1" applyFont="1" applyBorder="1"/>
    <xf numFmtId="0" fontId="10" fillId="0" borderId="0" xfId="0" applyFont="1" applyFill="1"/>
    <xf numFmtId="0" fontId="14" fillId="0" borderId="2" xfId="0" applyFont="1" applyBorder="1" applyAlignment="1">
      <alignment horizontal="center"/>
    </xf>
    <xf numFmtId="0" fontId="10" fillId="0" borderId="0" xfId="0"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41" fontId="49" fillId="0" borderId="0" xfId="0" applyNumberFormat="1" applyFont="1" applyFill="1"/>
    <xf numFmtId="41" fontId="48" fillId="0" borderId="0" xfId="0" applyNumberFormat="1" applyFont="1" applyFill="1"/>
    <xf numFmtId="41" fontId="11" fillId="0" borderId="0" xfId="14" applyNumberFormat="1" applyFont="1" applyFill="1"/>
    <xf numFmtId="41" fontId="11" fillId="0" borderId="0" xfId="0" applyNumberFormat="1" applyFont="1" applyFill="1" applyBorder="1" applyAlignment="1">
      <alignment horizontal="center"/>
    </xf>
    <xf numFmtId="0" fontId="44" fillId="0" borderId="0" xfId="0" applyFont="1" applyFill="1" applyBorder="1" applyAlignment="1">
      <alignment horizontal="center"/>
    </xf>
    <xf numFmtId="0" fontId="40" fillId="0" borderId="0" xfId="0" applyFont="1" applyFill="1" applyBorder="1" applyAlignment="1">
      <alignment horizontal="left"/>
    </xf>
    <xf numFmtId="171" fontId="46" fillId="0" borderId="0" xfId="12" applyNumberFormat="1" applyFont="1" applyFill="1" applyBorder="1"/>
    <xf numFmtId="41" fontId="10" fillId="0" borderId="0" xfId="0" quotePrefix="1" applyNumberFormat="1" applyFont="1" applyFill="1" applyAlignment="1">
      <alignment horizontal="right"/>
    </xf>
    <xf numFmtId="10" fontId="40" fillId="0" borderId="0" xfId="11" applyNumberFormat="1" applyFont="1" applyFill="1" applyBorder="1"/>
    <xf numFmtId="10" fontId="40" fillId="0" borderId="0" xfId="11" applyNumberFormat="1" applyFont="1"/>
    <xf numFmtId="0" fontId="4" fillId="0" borderId="0" xfId="0" applyFont="1"/>
    <xf numFmtId="43" fontId="0" fillId="0" borderId="0" xfId="0" applyNumberFormat="1"/>
    <xf numFmtId="41" fontId="50" fillId="0" borderId="0" xfId="0" applyNumberFormat="1" applyFont="1" applyFill="1"/>
    <xf numFmtId="0" fontId="10" fillId="0" borderId="0" xfId="0" applyFont="1" applyFill="1"/>
    <xf numFmtId="41" fontId="36" fillId="0" borderId="0" xfId="0" applyNumberFormat="1" applyFont="1"/>
    <xf numFmtId="41" fontId="4" fillId="0" borderId="0" xfId="0" applyNumberFormat="1" applyFont="1"/>
    <xf numFmtId="41" fontId="9" fillId="3" borderId="0" xfId="0" applyNumberFormat="1" applyFont="1" applyFill="1"/>
    <xf numFmtId="41" fontId="9" fillId="0" borderId="0" xfId="0" applyNumberFormat="1" applyFont="1" applyFill="1" applyBorder="1"/>
    <xf numFmtId="1" fontId="4" fillId="0" borderId="0" xfId="12" applyNumberFormat="1" applyFont="1" applyFill="1"/>
    <xf numFmtId="0" fontId="36" fillId="0" borderId="0" xfId="0" applyFont="1" applyFill="1"/>
    <xf numFmtId="1" fontId="10" fillId="0" borderId="0" xfId="0" applyNumberFormat="1" applyFont="1" applyFill="1" applyBorder="1"/>
    <xf numFmtId="1" fontId="4" fillId="0" borderId="0" xfId="7" applyNumberFormat="1" applyFont="1" applyFill="1"/>
    <xf numFmtId="43" fontId="9" fillId="0" borderId="0" xfId="0" applyNumberFormat="1" applyFont="1" applyFill="1" applyBorder="1"/>
    <xf numFmtId="43" fontId="51" fillId="0" borderId="0" xfId="15" applyNumberFormat="1" applyFont="1" applyFill="1"/>
    <xf numFmtId="0" fontId="44" fillId="0" borderId="0" xfId="0" applyFont="1" applyFill="1" applyBorder="1" applyAlignment="1">
      <alignment horizontal="left"/>
    </xf>
    <xf numFmtId="0" fontId="10" fillId="0" borderId="0" xfId="0" applyFont="1" applyFill="1"/>
    <xf numFmtId="41" fontId="11" fillId="0" borderId="0" xfId="0" applyNumberFormat="1" applyFont="1" applyFill="1" applyAlignment="1">
      <alignment horizontal="center"/>
    </xf>
    <xf numFmtId="0" fontId="22" fillId="0" borderId="0" xfId="0" applyFont="1" applyAlignment="1">
      <alignment horizontal="center"/>
    </xf>
    <xf numFmtId="0" fontId="10" fillId="0" borderId="0" xfId="0" applyFont="1" applyFill="1"/>
    <xf numFmtId="170" fontId="4" fillId="0" borderId="0" xfId="0" applyNumberFormat="1" applyFont="1" applyFill="1"/>
    <xf numFmtId="9" fontId="4" fillId="0" borderId="0" xfId="0" applyNumberFormat="1" applyFont="1" applyFill="1"/>
    <xf numFmtId="10" fontId="52" fillId="0" borderId="0" xfId="11" applyNumberFormat="1" applyFont="1" applyFill="1"/>
    <xf numFmtId="43" fontId="4" fillId="0" borderId="0" xfId="0" applyNumberFormat="1" applyFont="1" applyFill="1"/>
    <xf numFmtId="0" fontId="10" fillId="0" borderId="0" xfId="0" applyFont="1" applyFill="1"/>
    <xf numFmtId="41" fontId="11" fillId="0" borderId="0" xfId="0" applyNumberFormat="1" applyFont="1" applyFill="1" applyAlignment="1">
      <alignment horizontal="center"/>
    </xf>
    <xf numFmtId="0" fontId="13" fillId="0" borderId="0" xfId="0" applyFont="1" applyFill="1" applyAlignment="1">
      <alignment horizontal="center"/>
    </xf>
    <xf numFmtId="0" fontId="55" fillId="5" borderId="0" xfId="14" applyFont="1" applyFill="1" applyBorder="1"/>
    <xf numFmtId="41" fontId="10" fillId="5" borderId="0" xfId="13" applyNumberFormat="1" applyFont="1" applyFill="1"/>
    <xf numFmtId="41" fontId="10" fillId="5" borderId="0" xfId="14" applyNumberFormat="1" applyFont="1" applyFill="1" applyBorder="1"/>
    <xf numFmtId="174" fontId="10" fillId="5" borderId="0" xfId="2" applyNumberFormat="1" applyFont="1" applyFill="1" applyBorder="1"/>
    <xf numFmtId="0" fontId="10" fillId="5" borderId="0" xfId="13" applyFont="1" applyFill="1"/>
    <xf numFmtId="0" fontId="56" fillId="0" borderId="0" xfId="13" applyFont="1" applyFill="1"/>
    <xf numFmtId="0" fontId="55" fillId="0" borderId="0" xfId="13" applyFont="1" applyFill="1"/>
    <xf numFmtId="0" fontId="55" fillId="0" borderId="0" xfId="14" applyFont="1" applyFill="1" applyBorder="1"/>
    <xf numFmtId="174" fontId="59" fillId="0" borderId="0" xfId="2" applyNumberFormat="1" applyFont="1" applyFill="1"/>
    <xf numFmtId="0" fontId="55" fillId="0" borderId="0" xfId="0" applyFont="1" applyFill="1"/>
    <xf numFmtId="43" fontId="55" fillId="0" borderId="0" xfId="13" applyNumberFormat="1" applyFont="1" applyFill="1"/>
    <xf numFmtId="0" fontId="9" fillId="0" borderId="1" xfId="13" applyFont="1" applyFill="1" applyBorder="1"/>
    <xf numFmtId="0" fontId="10" fillId="0" borderId="0" xfId="0" applyFont="1" applyFill="1"/>
    <xf numFmtId="0" fontId="13" fillId="0" borderId="0" xfId="0" applyFont="1" applyFill="1" applyAlignment="1">
      <alignment horizontal="center"/>
    </xf>
    <xf numFmtId="171" fontId="10" fillId="0" borderId="0" xfId="12" applyNumberFormat="1" applyFont="1" applyFill="1" applyBorder="1"/>
    <xf numFmtId="171" fontId="11" fillId="0" borderId="0" xfId="12" applyNumberFormat="1" applyFont="1" applyFill="1"/>
    <xf numFmtId="0" fontId="10" fillId="0" borderId="0" xfId="0" applyFont="1" applyFill="1"/>
    <xf numFmtId="0" fontId="9" fillId="0" borderId="0" xfId="0" applyFont="1" applyFill="1" applyBorder="1" applyAlignment="1">
      <alignment horizontal="center"/>
    </xf>
    <xf numFmtId="10" fontId="0" fillId="0" borderId="0" xfId="11" applyNumberFormat="1" applyFont="1"/>
    <xf numFmtId="0" fontId="10" fillId="0" borderId="0" xfId="0" applyFont="1" applyFill="1"/>
    <xf numFmtId="43" fontId="40" fillId="0" borderId="0" xfId="0" applyNumberFormat="1" applyFont="1" applyFill="1"/>
    <xf numFmtId="43" fontId="45" fillId="0" borderId="0" xfId="0" applyNumberFormat="1" applyFont="1"/>
    <xf numFmtId="43" fontId="9" fillId="0" borderId="11" xfId="0" applyNumberFormat="1" applyFont="1" applyFill="1" applyBorder="1"/>
    <xf numFmtId="43" fontId="9" fillId="0" borderId="12" xfId="0" applyNumberFormat="1" applyFont="1" applyFill="1" applyBorder="1"/>
    <xf numFmtId="43" fontId="9" fillId="0" borderId="13" xfId="0" applyNumberFormat="1" applyFont="1" applyFill="1" applyBorder="1"/>
    <xf numFmtId="170" fontId="40" fillId="0" borderId="0" xfId="0" applyNumberFormat="1" applyFont="1" applyFill="1"/>
    <xf numFmtId="41" fontId="9" fillId="0" borderId="11" xfId="0" applyNumberFormat="1" applyFont="1" applyFill="1" applyBorder="1"/>
    <xf numFmtId="41" fontId="9" fillId="0" borderId="12" xfId="0" applyNumberFormat="1" applyFont="1" applyFill="1" applyBorder="1"/>
    <xf numFmtId="0" fontId="42" fillId="0" borderId="11" xfId="0" applyFont="1" applyBorder="1"/>
    <xf numFmtId="0" fontId="40" fillId="0" borderId="12" xfId="0" applyFont="1" applyBorder="1"/>
    <xf numFmtId="0" fontId="42" fillId="0" borderId="2" xfId="0" applyFont="1" applyBorder="1"/>
    <xf numFmtId="0" fontId="40" fillId="0" borderId="2" xfId="0" applyFont="1" applyBorder="1"/>
    <xf numFmtId="0" fontId="42" fillId="0" borderId="11" xfId="0" applyFont="1" applyFill="1" applyBorder="1"/>
    <xf numFmtId="0" fontId="40" fillId="0" borderId="12" xfId="0" applyFont="1" applyFill="1" applyBorder="1"/>
    <xf numFmtId="0" fontId="9"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0" fontId="12" fillId="0" borderId="0" xfId="0" applyFont="1" applyFill="1" applyBorder="1" applyAlignment="1">
      <alignment horizontal="center"/>
    </xf>
    <xf numFmtId="0" fontId="13" fillId="0" borderId="0" xfId="0" applyFont="1" applyFill="1" applyAlignment="1">
      <alignment horizontal="center"/>
    </xf>
    <xf numFmtId="10" fontId="10" fillId="0" borderId="0" xfId="11" applyNumberFormat="1" applyFont="1" applyFill="1"/>
    <xf numFmtId="41" fontId="9" fillId="0" borderId="0" xfId="0" applyNumberFormat="1" applyFont="1" applyFill="1" applyBorder="1" applyAlignment="1"/>
    <xf numFmtId="41" fontId="20" fillId="0" borderId="0" xfId="0" applyNumberFormat="1" applyFont="1" applyFill="1" applyAlignment="1">
      <alignment horizontal="center"/>
    </xf>
    <xf numFmtId="41" fontId="8" fillId="0" borderId="0" xfId="0" applyNumberFormat="1" applyFont="1" applyFill="1"/>
    <xf numFmtId="41" fontId="62" fillId="0" borderId="0" xfId="0" applyNumberFormat="1" applyFont="1" applyFill="1"/>
    <xf numFmtId="41" fontId="63" fillId="0" borderId="0" xfId="0" applyNumberFormat="1" applyFont="1" applyFill="1"/>
    <xf numFmtId="41" fontId="63" fillId="0" borderId="0" xfId="0" applyNumberFormat="1" applyFont="1" applyFill="1" applyBorder="1"/>
    <xf numFmtId="43" fontId="10" fillId="0" borderId="0" xfId="14" applyNumberFormat="1" applyFont="1" applyFill="1"/>
    <xf numFmtId="0" fontId="64" fillId="0" borderId="0" xfId="5" applyFont="1" applyFill="1"/>
    <xf numFmtId="1" fontId="10" fillId="0" borderId="0" xfId="12" applyNumberFormat="1" applyFont="1" applyFill="1"/>
    <xf numFmtId="1" fontId="4" fillId="0" borderId="0" xfId="14" applyNumberFormat="1" applyFont="1" applyFill="1"/>
    <xf numFmtId="1" fontId="4" fillId="0" borderId="0" xfId="0" applyNumberFormat="1" applyFont="1" applyFill="1"/>
    <xf numFmtId="10" fontId="10" fillId="0" borderId="0" xfId="11" applyNumberFormat="1" applyFont="1" applyFill="1" applyBorder="1"/>
    <xf numFmtId="176" fontId="40" fillId="0" borderId="0" xfId="0" applyNumberFormat="1" applyFont="1" applyFill="1" applyBorder="1"/>
    <xf numFmtId="4" fontId="40" fillId="0" borderId="0" xfId="0" applyNumberFormat="1" applyFont="1" applyFill="1" applyBorder="1"/>
    <xf numFmtId="171" fontId="55" fillId="0" borderId="0" xfId="12" applyNumberFormat="1" applyFont="1" applyFill="1"/>
    <xf numFmtId="0" fontId="10" fillId="0" borderId="1" xfId="0" applyFont="1" applyFill="1" applyBorder="1"/>
    <xf numFmtId="41" fontId="55" fillId="0" borderId="0" xfId="14" applyNumberFormat="1" applyFont="1" applyFill="1" applyBorder="1"/>
    <xf numFmtId="43" fontId="59" fillId="0" borderId="0" xfId="15" applyNumberFormat="1" applyFont="1" applyFill="1"/>
    <xf numFmtId="41" fontId="56" fillId="0" borderId="0" xfId="13" applyNumberFormat="1" applyFont="1" applyFill="1"/>
    <xf numFmtId="174" fontId="56" fillId="0" borderId="0" xfId="2" applyNumberFormat="1" applyFont="1" applyFill="1"/>
    <xf numFmtId="41" fontId="11" fillId="0" borderId="0" xfId="13" applyNumberFormat="1" applyFont="1" applyFill="1" applyBorder="1"/>
    <xf numFmtId="0" fontId="40" fillId="0" borderId="0" xfId="0" applyFont="1" applyFill="1"/>
    <xf numFmtId="10" fontId="40" fillId="0" borderId="0" xfId="11" applyNumberFormat="1" applyFont="1" applyFill="1"/>
    <xf numFmtId="0" fontId="44" fillId="0" borderId="0" xfId="0" applyFont="1" applyFill="1" applyAlignment="1">
      <alignment horizontal="center"/>
    </xf>
    <xf numFmtId="176" fontId="40" fillId="0" borderId="0" xfId="0" applyNumberFormat="1" applyFont="1" applyFill="1"/>
    <xf numFmtId="3" fontId="45" fillId="0" borderId="0" xfId="0" applyNumberFormat="1" applyFont="1" applyFill="1"/>
    <xf numFmtId="4" fontId="40" fillId="0" borderId="0" xfId="0" applyNumberFormat="1" applyFont="1" applyFill="1"/>
    <xf numFmtId="43" fontId="40" fillId="0" borderId="0" xfId="12" applyFont="1" applyFill="1"/>
    <xf numFmtId="171" fontId="4" fillId="0" borderId="0" xfId="12" quotePrefix="1" applyNumberFormat="1" applyFont="1" applyFill="1"/>
    <xf numFmtId="171" fontId="4" fillId="0" borderId="0" xfId="12" applyNumberFormat="1" applyFont="1" applyFill="1"/>
    <xf numFmtId="171" fontId="26" fillId="0" borderId="0" xfId="12" applyNumberFormat="1" applyFont="1" applyFill="1"/>
    <xf numFmtId="171" fontId="10" fillId="0" borderId="0" xfId="0" applyNumberFormat="1" applyFont="1" applyFill="1" applyBorder="1"/>
    <xf numFmtId="0" fontId="10" fillId="0" borderId="0" xfId="0" applyFont="1" applyFill="1"/>
    <xf numFmtId="41" fontId="10" fillId="3" borderId="0" xfId="0" applyNumberFormat="1" applyFont="1" applyFill="1"/>
    <xf numFmtId="0" fontId="7" fillId="0" borderId="0" xfId="0" applyFont="1"/>
    <xf numFmtId="41" fontId="18" fillId="0" borderId="0" xfId="0" applyNumberFormat="1" applyFont="1" applyFill="1" applyAlignment="1">
      <alignment horizontal="center"/>
    </xf>
    <xf numFmtId="41" fontId="19" fillId="0" borderId="0" xfId="0" applyNumberFormat="1" applyFont="1" applyFill="1" applyAlignment="1">
      <alignment horizontal="center"/>
    </xf>
    <xf numFmtId="41" fontId="66" fillId="0" borderId="0" xfId="0" applyNumberFormat="1" applyFont="1" applyFill="1" applyAlignment="1">
      <alignment horizontal="center"/>
    </xf>
    <xf numFmtId="171" fontId="18" fillId="0" borderId="0" xfId="12" applyNumberFormat="1" applyFont="1" applyFill="1"/>
    <xf numFmtId="41" fontId="18" fillId="0" borderId="0" xfId="0" applyNumberFormat="1" applyFont="1" applyFill="1"/>
    <xf numFmtId="171" fontId="7" fillId="0" borderId="0" xfId="12" applyNumberFormat="1" applyFont="1"/>
    <xf numFmtId="41" fontId="67" fillId="0" borderId="0" xfId="0" applyNumberFormat="1" applyFont="1" applyFill="1" applyAlignment="1">
      <alignment horizontal="right"/>
    </xf>
    <xf numFmtId="0" fontId="18" fillId="0" borderId="0" xfId="0" applyFont="1" applyFill="1" applyAlignment="1"/>
    <xf numFmtId="171" fontId="18" fillId="0" borderId="0" xfId="12" applyNumberFormat="1" applyFont="1" applyFill="1" applyBorder="1"/>
    <xf numFmtId="0" fontId="66" fillId="0" borderId="0" xfId="0" applyFont="1" applyFill="1" applyAlignment="1">
      <alignment horizontal="center"/>
    </xf>
    <xf numFmtId="0" fontId="18" fillId="0" borderId="0" xfId="0" applyNumberFormat="1" applyFont="1" applyFill="1" applyBorder="1" applyAlignment="1">
      <alignment horizontal="left"/>
    </xf>
    <xf numFmtId="0" fontId="68" fillId="0" borderId="0" xfId="0" applyFont="1" applyBorder="1" applyAlignment="1">
      <alignment horizontal="center"/>
    </xf>
    <xf numFmtId="3" fontId="69" fillId="0" borderId="0" xfId="0" applyNumberFormat="1" applyFont="1" applyBorder="1"/>
    <xf numFmtId="171" fontId="69" fillId="0" borderId="0" xfId="12" applyNumberFormat="1" applyFont="1" applyBorder="1"/>
    <xf numFmtId="0" fontId="69" fillId="0" borderId="0" xfId="0" applyFont="1" applyBorder="1"/>
    <xf numFmtId="3" fontId="70" fillId="0" borderId="0" xfId="0" applyNumberFormat="1" applyFont="1" applyBorder="1"/>
    <xf numFmtId="0" fontId="66" fillId="0" borderId="0" xfId="14" applyFont="1" applyFill="1" applyBorder="1" applyAlignment="1">
      <alignment horizontal="center"/>
    </xf>
    <xf numFmtId="0" fontId="18" fillId="0" borderId="0" xfId="14" applyFont="1" applyFill="1" applyBorder="1"/>
    <xf numFmtId="41" fontId="18" fillId="0" borderId="0" xfId="14" applyNumberFormat="1" applyFont="1" applyFill="1" applyBorder="1"/>
    <xf numFmtId="171" fontId="19" fillId="0" borderId="0" xfId="12" applyNumberFormat="1" applyFont="1" applyFill="1"/>
    <xf numFmtId="171" fontId="19" fillId="0" borderId="0" xfId="12" applyNumberFormat="1" applyFont="1" applyFill="1" applyBorder="1"/>
    <xf numFmtId="171" fontId="18" fillId="0" borderId="0" xfId="12" applyNumberFormat="1" applyFont="1"/>
    <xf numFmtId="3" fontId="70" fillId="0" borderId="0" xfId="0" applyNumberFormat="1" applyFont="1" applyBorder="1" applyAlignment="1">
      <alignment horizontal="center"/>
    </xf>
    <xf numFmtId="3" fontId="45" fillId="0" borderId="1" xfId="0" applyNumberFormat="1" applyFont="1" applyFill="1" applyBorder="1"/>
    <xf numFmtId="41" fontId="11" fillId="0" borderId="0" xfId="0" applyNumberFormat="1" applyFont="1" applyFill="1" applyAlignment="1">
      <alignment horizontal="center"/>
    </xf>
    <xf numFmtId="0" fontId="0" fillId="0" borderId="0" xfId="0" applyAlignment="1"/>
    <xf numFmtId="0" fontId="10" fillId="0" borderId="0" xfId="0" applyFont="1" applyFill="1"/>
    <xf numFmtId="41" fontId="11" fillId="0" borderId="0" xfId="0" applyNumberFormat="1" applyFont="1" applyFill="1" applyAlignment="1">
      <alignment horizontal="center"/>
    </xf>
    <xf numFmtId="41" fontId="11" fillId="0" borderId="0" xfId="0" applyNumberFormat="1" applyFont="1" applyFill="1" applyAlignment="1">
      <alignment horizontal="center"/>
    </xf>
    <xf numFmtId="0" fontId="9" fillId="0" borderId="2" xfId="0" applyFont="1" applyBorder="1" applyAlignment="1">
      <alignment horizontal="center"/>
    </xf>
    <xf numFmtId="0" fontId="10" fillId="0" borderId="2" xfId="0" applyFont="1" applyBorder="1" applyAlignment="1"/>
    <xf numFmtId="0" fontId="9"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0" fontId="22" fillId="0" borderId="0" xfId="0" applyFont="1" applyAlignment="1">
      <alignment horizontal="center"/>
    </xf>
    <xf numFmtId="0" fontId="23" fillId="0" borderId="0" xfId="0" applyFont="1" applyAlignment="1">
      <alignment horizontal="center"/>
    </xf>
    <xf numFmtId="0" fontId="27" fillId="0" borderId="0" xfId="0" applyFont="1" applyFill="1" applyAlignment="1">
      <alignment horizontal="center"/>
    </xf>
    <xf numFmtId="0" fontId="9" fillId="0" borderId="0" xfId="0" applyFont="1" applyFill="1" applyBorder="1" applyAlignment="1">
      <alignment horizontal="center"/>
    </xf>
    <xf numFmtId="0" fontId="12" fillId="0" borderId="5"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Alignment="1">
      <alignment horizontal="center"/>
    </xf>
    <xf numFmtId="41" fontId="65" fillId="0" borderId="0" xfId="0" applyNumberFormat="1" applyFont="1" applyFill="1" applyAlignment="1">
      <alignment horizontal="center" wrapText="1"/>
    </xf>
    <xf numFmtId="0" fontId="9" fillId="0" borderId="0" xfId="0" applyFont="1" applyFill="1" applyAlignment="1">
      <alignment horizontal="center" wrapText="1"/>
    </xf>
    <xf numFmtId="0" fontId="13" fillId="0" borderId="0" xfId="0" applyFont="1" applyFill="1" applyAlignment="1">
      <alignment horizontal="center"/>
    </xf>
  </cellXfs>
  <cellStyles count="18">
    <cellStyle name="Comma" xfId="12" builtinId="3"/>
    <cellStyle name="Comma 2" xfId="1"/>
    <cellStyle name="Currency" xfId="2" builtinId="4"/>
    <cellStyle name="Hyperlink" xfId="3" builtinId="8"/>
    <cellStyle name="Normal" xfId="0" builtinId="0"/>
    <cellStyle name="Normal 2" xfId="4"/>
    <cellStyle name="Normal 2 2" xfId="14"/>
    <cellStyle name="Normal 3" xfId="5"/>
    <cellStyle name="Normal 3 2" xfId="15"/>
    <cellStyle name="Normal 4" xfId="13"/>
    <cellStyle name="Normal 5" xfId="16"/>
    <cellStyle name="Normal 6" xfId="17"/>
    <cellStyle name="Normal_03-fire" xfId="6"/>
    <cellStyle name="Normal_04-police" xfId="7"/>
    <cellStyle name="Normal_budget detail 2006-07" xfId="8"/>
    <cellStyle name="Normal_Highway Parks Solid Waste EquipMaint Budgets" xfId="9"/>
    <cellStyle name="Normal_revenue"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Times New Roman"/>
                <a:ea typeface="Times New Roman"/>
                <a:cs typeface="Times New Roman"/>
              </a:defRPr>
            </a:pPr>
            <a:r>
              <a:rPr lang="en-US"/>
              <a:t>Municipal Property Tax Rate</a:t>
            </a:r>
          </a:p>
        </c:rich>
      </c:tx>
      <c:layout>
        <c:manualLayout>
          <c:xMode val="edge"/>
          <c:yMode val="edge"/>
          <c:x val="0.34434766755073043"/>
          <c:y val="3.3742272144891838E-2"/>
        </c:manualLayout>
      </c:layout>
      <c:overlay val="0"/>
      <c:spPr>
        <a:noFill/>
        <a:ln w="25400">
          <a:noFill/>
        </a:ln>
      </c:spPr>
    </c:title>
    <c:autoTitleDeleted val="0"/>
    <c:plotArea>
      <c:layout>
        <c:manualLayout>
          <c:layoutTarget val="inner"/>
          <c:xMode val="edge"/>
          <c:yMode val="edge"/>
          <c:x val="0.18782608695652173"/>
          <c:y val="0.17177914110429449"/>
          <c:w val="0.78086956521739126"/>
          <c:h val="0.64417177914110424"/>
        </c:manualLayout>
      </c:layout>
      <c:lineChart>
        <c:grouping val="standard"/>
        <c:varyColors val="0"/>
        <c:ser>
          <c:idx val="0"/>
          <c:order val="0"/>
          <c:tx>
            <c:strRef>
              <c:f>'TAX RATE (all)'!$F$21</c:f>
              <c:strCache>
                <c:ptCount val="1"/>
                <c:pt idx="0">
                  <c:v>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'TAX RATE (all)'!$E$22:$E$51</c:f>
              <c:numCache>
                <c:formatCode>General</c:formatCode>
                <c:ptCount val="3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numCache>
            </c:numRef>
          </c:cat>
          <c:val>
            <c:numRef>
              <c:f>'TAX RATE (all)'!$F$22:$F$51</c:f>
              <c:numCache>
                <c:formatCode>_(* #,##0.00_);_(* \(#,##0.00\);_(* "-"??_);_(@_)</c:formatCode>
                <c:ptCount val="30"/>
                <c:pt idx="0">
                  <c:v>8.67</c:v>
                </c:pt>
                <c:pt idx="1">
                  <c:v>7.87</c:v>
                </c:pt>
                <c:pt idx="2">
                  <c:v>7.7</c:v>
                </c:pt>
                <c:pt idx="3">
                  <c:v>6.68</c:v>
                </c:pt>
                <c:pt idx="4">
                  <c:v>6</c:v>
                </c:pt>
                <c:pt idx="5">
                  <c:v>5.99</c:v>
                </c:pt>
                <c:pt idx="6">
                  <c:v>5.4</c:v>
                </c:pt>
                <c:pt idx="7">
                  <c:v>5.07</c:v>
                </c:pt>
                <c:pt idx="8">
                  <c:v>3.7</c:v>
                </c:pt>
                <c:pt idx="9">
                  <c:v>5.04</c:v>
                </c:pt>
                <c:pt idx="10">
                  <c:v>5.26</c:v>
                </c:pt>
                <c:pt idx="11" formatCode="General">
                  <c:v>5.1100000000000003</c:v>
                </c:pt>
                <c:pt idx="12" formatCode="General">
                  <c:v>2.82</c:v>
                </c:pt>
                <c:pt idx="13">
                  <c:v>3.54</c:v>
                </c:pt>
                <c:pt idx="14">
                  <c:v>4.2300000000000004</c:v>
                </c:pt>
                <c:pt idx="15">
                  <c:v>4.2300000000000004</c:v>
                </c:pt>
                <c:pt idx="16">
                  <c:v>4.34</c:v>
                </c:pt>
                <c:pt idx="17">
                  <c:v>5.24</c:v>
                </c:pt>
                <c:pt idx="18">
                  <c:v>5.14</c:v>
                </c:pt>
                <c:pt idx="19">
                  <c:v>5.29</c:v>
                </c:pt>
                <c:pt idx="20">
                  <c:v>5.46</c:v>
                </c:pt>
                <c:pt idx="21">
                  <c:v>5.49</c:v>
                </c:pt>
                <c:pt idx="22">
                  <c:v>4.91</c:v>
                </c:pt>
                <c:pt idx="23">
                  <c:v>4.9000000000000004</c:v>
                </c:pt>
                <c:pt idx="24">
                  <c:v>5.0999999999999996</c:v>
                </c:pt>
                <c:pt idx="25">
                  <c:v>4.71</c:v>
                </c:pt>
                <c:pt idx="26">
                  <c:v>5.0599999999999996</c:v>
                </c:pt>
                <c:pt idx="27">
                  <c:v>3.82</c:v>
                </c:pt>
                <c:pt idx="28" formatCode="_(* #,##0.00_);_(* \(#,##0.00\);_(* &quot;-&quot;_);_(@_)">
                  <c:v>3.86</c:v>
                </c:pt>
                <c:pt idx="29" formatCode="_(* #,##0.00_);_(* \(#,##0.00\);_(* &quot;-&quot;_);_(@_)">
                  <c:v>4.1100000000000003</c:v>
                </c:pt>
              </c:numCache>
            </c:numRef>
          </c:val>
          <c:smooth val="0"/>
          <c:extLst xmlns:c16r2="http://schemas.microsoft.com/office/drawing/2015/06/chart">
            <c:ext xmlns:c16="http://schemas.microsoft.com/office/drawing/2014/chart" uri="{C3380CC4-5D6E-409C-BE32-E72D297353CC}">
              <c16:uniqueId val="{00000000-ABF4-407E-89B7-5C50B6054CF7}"/>
            </c:ext>
          </c:extLst>
        </c:ser>
        <c:dLbls>
          <c:showLegendKey val="0"/>
          <c:showVal val="0"/>
          <c:showCatName val="0"/>
          <c:showSerName val="0"/>
          <c:showPercent val="0"/>
          <c:showBubbleSize val="0"/>
        </c:dLbls>
        <c:marker val="1"/>
        <c:smooth val="0"/>
        <c:axId val="495982184"/>
        <c:axId val="495982576"/>
      </c:lineChart>
      <c:catAx>
        <c:axId val="49598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495982576"/>
        <c:crosses val="autoZero"/>
        <c:auto val="1"/>
        <c:lblAlgn val="ctr"/>
        <c:lblOffset val="100"/>
        <c:tickLblSkip val="2"/>
        <c:tickMarkSkip val="1"/>
        <c:noMultiLvlLbl val="0"/>
      </c:catAx>
      <c:valAx>
        <c:axId val="495982576"/>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Times New Roman"/>
                    <a:ea typeface="Times New Roman"/>
                    <a:cs typeface="Times New Roman"/>
                  </a:defRPr>
                </a:pPr>
                <a:r>
                  <a:rPr lang="en-US"/>
                  <a:t>Tax Rate per $1,0000</a:t>
                </a:r>
              </a:p>
            </c:rich>
          </c:tx>
          <c:layout>
            <c:manualLayout>
              <c:xMode val="edge"/>
              <c:yMode val="edge"/>
              <c:x val="5.2173868174735037E-2"/>
              <c:y val="0.29141104103693199"/>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en-US"/>
          </a:p>
        </c:txPr>
        <c:crossAx val="4959821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8 - HIGHWAY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'08-highway'!$H$360:$H$362</c:f>
              <c:numCache>
                <c:formatCode>_(* #,##0_);_(* \(#,##0\);_(* "-"_);_(@_)</c:formatCode>
                <c:ptCount val="3"/>
                <c:pt idx="0">
                  <c:v>2176924</c:v>
                </c:pt>
                <c:pt idx="1">
                  <c:v>978791</c:v>
                </c:pt>
                <c:pt idx="2">
                  <c:v>4484500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'08-highway'!$C$360:$C$362</c:f>
              <c:numCache>
                <c:formatCode>0.0%</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'08-highway'!$D$360:$D$362</c:f>
              <c:numCache>
                <c:formatCode>0.0%</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'08-highway'!$E$360:$E$362</c:f>
              <c:numCache>
                <c:formatCode>_(* #,##0_);_(* \(#,##0\);_(* "-"_);_(@_)</c:formatCode>
                <c:ptCount val="3"/>
                <c:pt idx="0">
                  <c:v>1890324</c:v>
                </c:pt>
                <c:pt idx="1">
                  <c:v>809015</c:v>
                </c:pt>
                <c:pt idx="2">
                  <c:v>2723175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'08-highway'!$F$360:$F$362</c:f>
              <c:numCache>
                <c:formatCode>_(* #,##0_);_(* \(#,##0\);_(* "-"_);_(@_)</c:formatCode>
                <c:ptCount val="3"/>
                <c:pt idx="0">
                  <c:v>2155426</c:v>
                </c:pt>
                <c:pt idx="1">
                  <c:v>893604</c:v>
                </c:pt>
                <c:pt idx="2">
                  <c:v>2267000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'08-highway'!$G$360:$G$362</c:f>
              <c:numCache>
                <c:formatCode>_(* #,##0_);_(* \(#,##0\);_(* "-"_);_(@_)</c:formatCode>
                <c:ptCount val="3"/>
                <c:pt idx="0">
                  <c:v>2189086</c:v>
                </c:pt>
                <c:pt idx="1">
                  <c:v>1028791</c:v>
                </c:pt>
                <c:pt idx="2">
                  <c:v>4684500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'08-highway'!$H$360:$H$362</c:f>
              <c:numCache>
                <c:formatCode>_(* #,##0_);_(* \(#,##0\);_(* "-"_);_(@_)</c:formatCode>
                <c:ptCount val="3"/>
                <c:pt idx="0">
                  <c:v>2176924</c:v>
                </c:pt>
                <c:pt idx="1">
                  <c:v>978791</c:v>
                </c:pt>
                <c:pt idx="2">
                  <c:v>4484500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9 - SOLID WASTE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waste'!$H$228:$H$230</c:f>
              <c:numCache>
                <c:formatCode>_(* #,##0_);_(* \(#,##0\);_(* "-"_);_(@_)</c:formatCode>
                <c:ptCount val="3"/>
                <c:pt idx="0">
                  <c:v>614761</c:v>
                </c:pt>
                <c:pt idx="1">
                  <c:v>1246023</c:v>
                </c:pt>
                <c:pt idx="2">
                  <c:v>197000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waste'!$C$228:$C$230</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waste'!$D$228:$D$230</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waste'!$E$228:$E$230</c:f>
              <c:numCache>
                <c:formatCode>_(* #,##0_);_(* \(#,##0\);_(* "-"_);_(@_)</c:formatCode>
                <c:ptCount val="3"/>
                <c:pt idx="0">
                  <c:v>608399</c:v>
                </c:pt>
                <c:pt idx="1">
                  <c:v>1079913</c:v>
                </c:pt>
                <c:pt idx="2">
                  <c:v>126781</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waste'!$F$228:$F$230</c:f>
              <c:numCache>
                <c:formatCode>_(* #,##0_);_(* \(#,##0\);_(* "-"_);_(@_)</c:formatCode>
                <c:ptCount val="3"/>
                <c:pt idx="0">
                  <c:v>600622</c:v>
                </c:pt>
                <c:pt idx="1">
                  <c:v>1147039</c:v>
                </c:pt>
                <c:pt idx="2">
                  <c:v>102000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waste'!$G$228:$G$230</c:f>
              <c:numCache>
                <c:formatCode>_(* #,##0_);_(* \(#,##0\);_(* "-"_);_(@_)</c:formatCode>
                <c:ptCount val="3"/>
                <c:pt idx="0">
                  <c:v>614761</c:v>
                </c:pt>
                <c:pt idx="1">
                  <c:v>1246023</c:v>
                </c:pt>
                <c:pt idx="2">
                  <c:v>217000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waste'!$H$228:$H$230</c:f>
              <c:numCache>
                <c:formatCode>_(* #,##0_);_(* \(#,##0\);_(* "-"_);_(@_)</c:formatCode>
                <c:ptCount val="3"/>
                <c:pt idx="0">
                  <c:v>614761</c:v>
                </c:pt>
                <c:pt idx="1">
                  <c:v>1246023</c:v>
                </c:pt>
                <c:pt idx="2">
                  <c:v>197000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13 - PARKS &amp; REC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rec'!$H$255:$H$257</c:f>
              <c:numCache>
                <c:formatCode>_(* #,##0_);_(* \(#,##0\);_(* "-"_);_(@_)</c:formatCode>
                <c:ptCount val="3"/>
                <c:pt idx="0">
                  <c:v>244376</c:v>
                </c:pt>
                <c:pt idx="1">
                  <c:v>278889</c:v>
                </c:pt>
                <c:pt idx="2">
                  <c:v>5000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rec'!$C$255:$C$257</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rec'!$D$255:$D$257</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rec'!$E$255:$E$257</c:f>
              <c:numCache>
                <c:formatCode>_(* #,##0_);_(* \(#,##0\);_(* "-"_);_(@_)</c:formatCode>
                <c:ptCount val="3"/>
                <c:pt idx="0">
                  <c:v>231533</c:v>
                </c:pt>
                <c:pt idx="1">
                  <c:v>269711</c:v>
                </c:pt>
                <c:pt idx="2">
                  <c:v>211609</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rec'!$F$255:$F$257</c:f>
              <c:numCache>
                <c:formatCode>_(* #,##0_);_(* \(#,##0\);_(* "-"_);_(@_)</c:formatCode>
                <c:ptCount val="3"/>
                <c:pt idx="0">
                  <c:v>246602</c:v>
                </c:pt>
                <c:pt idx="1">
                  <c:v>278686</c:v>
                </c:pt>
                <c:pt idx="2">
                  <c:v>37500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rec'!$G$255:$G$257</c:f>
              <c:numCache>
                <c:formatCode>_(* #,##0_);_(* \(#,##0\);_(* "-"_);_(@_)</c:formatCode>
                <c:ptCount val="3"/>
                <c:pt idx="0">
                  <c:v>244376</c:v>
                </c:pt>
                <c:pt idx="1">
                  <c:v>275254</c:v>
                </c:pt>
                <c:pt idx="2">
                  <c:v>235000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rec'!$H$255:$H$257</c:f>
              <c:numCache>
                <c:formatCode>_(* #,##0_);_(* \(#,##0\);_(* "-"_);_(@_)</c:formatCode>
                <c:ptCount val="3"/>
                <c:pt idx="0">
                  <c:v>244376</c:v>
                </c:pt>
                <c:pt idx="1">
                  <c:v>278889</c:v>
                </c:pt>
                <c:pt idx="2">
                  <c:v>5000</c:v>
                </c:pt>
              </c:numCache>
            </c:numRef>
          </c:val>
        </c:ser>
        <c:ser>
          <c:idx val="7"/>
          <c:order val="7"/>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rec'!$I$255:$I$257</c:f>
              <c:numCache>
                <c:formatCode>_(* #,##0_);_(* \(#,##0\);_(* "-"_);_(@_)</c:formatCode>
                <c:ptCount val="3"/>
                <c:pt idx="0">
                  <c:v>250595</c:v>
                </c:pt>
                <c:pt idx="1">
                  <c:v>278889</c:v>
                </c:pt>
                <c:pt idx="2">
                  <c:v>5000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15 - LIBRARY</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'15-library'!$H$255:$H$257</c:f>
              <c:numCache>
                <c:formatCode>_(* #,##0_);_(* \(#,##0\);_(* "-"_);_(@_)</c:formatCode>
                <c:ptCount val="3"/>
                <c:pt idx="0">
                  <c:v>922177</c:v>
                </c:pt>
                <c:pt idx="1">
                  <c:v>258535</c:v>
                </c:pt>
                <c:pt idx="2">
                  <c:v>78500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'15-library'!$C$255:$C$257</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'15-library'!$D$255:$D$257</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'15-library'!$E$255:$E$257</c:f>
              <c:numCache>
                <c:formatCode>_(* #,##0_);_(* \(#,##0\);_(* "-"_);_(@_)</c:formatCode>
                <c:ptCount val="3"/>
                <c:pt idx="0">
                  <c:v>790148</c:v>
                </c:pt>
                <c:pt idx="1">
                  <c:v>287862</c:v>
                </c:pt>
                <c:pt idx="2">
                  <c:v>82020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'15-library'!$F$255:$F$257</c:f>
              <c:numCache>
                <c:formatCode>_(* #,##0_);_(* \(#,##0\);_(* "-"_);_(@_)</c:formatCode>
                <c:ptCount val="3"/>
                <c:pt idx="0">
                  <c:v>871904</c:v>
                </c:pt>
                <c:pt idx="1">
                  <c:v>273824</c:v>
                </c:pt>
                <c:pt idx="2">
                  <c:v>77000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'15-library'!$G$255:$G$257</c:f>
              <c:numCache>
                <c:formatCode>_(* #,##0_);_(* \(#,##0\);_(* "-"_);_(@_)</c:formatCode>
                <c:ptCount val="3"/>
                <c:pt idx="0">
                  <c:v>922175.89728023205</c:v>
                </c:pt>
                <c:pt idx="1">
                  <c:v>258535</c:v>
                </c:pt>
                <c:pt idx="2">
                  <c:v>78500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'15-library'!$H$255:$H$257</c:f>
              <c:numCache>
                <c:formatCode>_(* #,##0_);_(* \(#,##0\);_(* "-"_);_(@_)</c:formatCode>
                <c:ptCount val="3"/>
                <c:pt idx="0">
                  <c:v>922177</c:v>
                </c:pt>
                <c:pt idx="1">
                  <c:v>258535</c:v>
                </c:pt>
                <c:pt idx="2">
                  <c:v>78500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16 - EQUIPMENT MAINTENANCE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mntc'!$H$130:$H$132</c:f>
              <c:numCache>
                <c:formatCode>_(* #,##0_);_(* \(#,##0\);_(* "-"_);_(@_)</c:formatCode>
                <c:ptCount val="3"/>
                <c:pt idx="0">
                  <c:v>476423</c:v>
                </c:pt>
                <c:pt idx="1">
                  <c:v>25711</c:v>
                </c:pt>
                <c:pt idx="2">
                  <c:v>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mntc'!$C$130:$C$132</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mntc'!$D$130:$D$132</c:f>
              <c:numCache>
                <c:formatCode>0.0%</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mntc'!$E$130:$E$132</c:f>
              <c:numCache>
                <c:formatCode>_(* #,##0_);_(* \(#,##0\);_(* "-"_);_(@_)</c:formatCode>
                <c:ptCount val="3"/>
                <c:pt idx="0">
                  <c:v>464782</c:v>
                </c:pt>
                <c:pt idx="1">
                  <c:v>16711</c:v>
                </c:pt>
                <c:pt idx="2">
                  <c:v>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mntc'!$F$130:$F$132</c:f>
              <c:numCache>
                <c:formatCode>_(* #,##0_);_(* \(#,##0\);_(* "-"_);_(@_)</c:formatCode>
                <c:ptCount val="3"/>
                <c:pt idx="0">
                  <c:v>472762</c:v>
                </c:pt>
                <c:pt idx="1">
                  <c:v>26370</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mntc'!$G$130:$G$132</c:f>
              <c:numCache>
                <c:formatCode>_(* #,##0_);_(* \(#,##0\);_(* "-"_);_(@_)</c:formatCode>
                <c:ptCount val="3"/>
                <c:pt idx="0">
                  <c:v>476423</c:v>
                </c:pt>
                <c:pt idx="1">
                  <c:v>39711</c:v>
                </c:pt>
                <c:pt idx="2">
                  <c:v>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mntc'!$H$130:$H$132</c:f>
              <c:numCache>
                <c:formatCode>_(* #,##0_);_(* \(#,##0\);_(* "-"_);_(@_)</c:formatCode>
                <c:ptCount val="3"/>
                <c:pt idx="0">
                  <c:v>476423</c:v>
                </c:pt>
                <c:pt idx="1">
                  <c:v>25711</c:v>
                </c:pt>
                <c:pt idx="2">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17 - BUILDINGS AND GROUNDS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grounds'!$H$152:$H$154</c:f>
              <c:numCache>
                <c:formatCode>_(* #,##0_);_(* \(#,##0\);_(* "-"_);_(@_)</c:formatCode>
                <c:ptCount val="3"/>
                <c:pt idx="0">
                  <c:v>204138</c:v>
                </c:pt>
                <c:pt idx="1">
                  <c:v>149561</c:v>
                </c:pt>
                <c:pt idx="2">
                  <c:v>242424</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grounds'!$C$152:$C$154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grounds'!$D$152:$D$154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grounds'!$E$152:$E$154</c:f>
              <c:numCache>
                <c:formatCode>_(* #,##0_);_(* \(#,##0\);_(* "-"_);_(@_)</c:formatCode>
                <c:ptCount val="3"/>
                <c:pt idx="0">
                  <c:v>178751</c:v>
                </c:pt>
                <c:pt idx="1">
                  <c:v>114792</c:v>
                </c:pt>
                <c:pt idx="2">
                  <c:v>5695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grounds'!$F$152:$F$154</c:f>
              <c:numCache>
                <c:formatCode>_(* #,##0_);_(* \(#,##0\);_(* "-"_);_(@_)</c:formatCode>
                <c:ptCount val="3"/>
                <c:pt idx="0">
                  <c:v>205728</c:v>
                </c:pt>
                <c:pt idx="1">
                  <c:v>139413</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grounds'!$G$152:$G$154</c:f>
              <c:numCache>
                <c:formatCode>_(* #,##0_);_(* \(#,##0\);_(* "-"_);_(@_)</c:formatCode>
                <c:ptCount val="3"/>
                <c:pt idx="0">
                  <c:v>204138</c:v>
                </c:pt>
                <c:pt idx="1">
                  <c:v>149561</c:v>
                </c:pt>
                <c:pt idx="2">
                  <c:v>317424</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grounds'!$H$152:$H$154</c:f>
              <c:numCache>
                <c:formatCode>_(* #,##0_);_(* \(#,##0\);_(* "-"_);_(@_)</c:formatCode>
                <c:ptCount val="3"/>
                <c:pt idx="0">
                  <c:v>204138</c:v>
                </c:pt>
                <c:pt idx="1">
                  <c:v>149561</c:v>
                </c:pt>
                <c:pt idx="2">
                  <c:v>242424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21 - COMMUNITY DEVELOPMENT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dev'!$H$159:$H$161</c:f>
              <c:numCache>
                <c:formatCode>_(* #,##0_);_(* \(#,##0\);_(* "-"_);_(@_)</c:formatCode>
                <c:ptCount val="3"/>
                <c:pt idx="0">
                  <c:v>468600</c:v>
                </c:pt>
                <c:pt idx="1">
                  <c:v>58263</c:v>
                </c:pt>
                <c:pt idx="2">
                  <c:v>6000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dev'!$C$159:$C$161</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dev'!$D$159:$D$161</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dev'!$E$159:$E$161</c:f>
              <c:numCache>
                <c:formatCode>_(* #,##0_);_(* \(#,##0\);_(* "-"_);_(@_)</c:formatCode>
                <c:ptCount val="3"/>
                <c:pt idx="0">
                  <c:v>459632</c:v>
                </c:pt>
                <c:pt idx="1">
                  <c:v>51821</c:v>
                </c:pt>
                <c:pt idx="2">
                  <c:v>5963</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dev'!$F$159:$F$161</c:f>
              <c:numCache>
                <c:formatCode>_(* #,##0_);_(* \(#,##0\);_(* "-"_);_(@_)</c:formatCode>
                <c:ptCount val="3"/>
                <c:pt idx="0">
                  <c:v>467937</c:v>
                </c:pt>
                <c:pt idx="1">
                  <c:v>56156</c:v>
                </c:pt>
                <c:pt idx="2">
                  <c:v>12500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dev'!$G$159:$G$161</c:f>
              <c:numCache>
                <c:formatCode>_(* #,##0_);_(* \(#,##0\);_(* "-"_);_(@_)</c:formatCode>
                <c:ptCount val="3"/>
                <c:pt idx="0">
                  <c:v>468600</c:v>
                </c:pt>
                <c:pt idx="1">
                  <c:v>58263</c:v>
                </c:pt>
                <c:pt idx="2">
                  <c:v>6000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dev'!$H$159:$H$161</c:f>
              <c:numCache>
                <c:formatCode>_(* #,##0_);_(* \(#,##0\);_(* "-"_);_(@_)</c:formatCode>
                <c:ptCount val="3"/>
                <c:pt idx="0">
                  <c:v>468600</c:v>
                </c:pt>
                <c:pt idx="1">
                  <c:v>58263</c:v>
                </c:pt>
                <c:pt idx="2">
                  <c:v>6000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24 - TOWN CLERK - TAX COLLECTOR</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coll'!$H$153:$H$155</c:f>
              <c:numCache>
                <c:formatCode>_(* #,##0_);_(* \(#,##0\);_(* "-"_);_(@_)</c:formatCode>
                <c:ptCount val="3"/>
                <c:pt idx="0">
                  <c:v>507198</c:v>
                </c:pt>
                <c:pt idx="1">
                  <c:v>87725</c:v>
                </c:pt>
                <c:pt idx="2">
                  <c:v>3000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coll'!$C$153:$C$155</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coll'!$D$153:$D$155</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coll'!$E$153:$E$155</c:f>
              <c:numCache>
                <c:formatCode>_(* #,##0_);_(* \(#,##0\);_(* "-"_);_(@_)</c:formatCode>
                <c:ptCount val="3"/>
                <c:pt idx="0">
                  <c:v>491743</c:v>
                </c:pt>
                <c:pt idx="1">
                  <c:v>72163</c:v>
                </c:pt>
                <c:pt idx="2">
                  <c:v>1375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coll'!$F$153:$F$155</c:f>
              <c:numCache>
                <c:formatCode>_(* #,##0_);_(* \(#,##0\);_(* "-"_);_(@_)</c:formatCode>
                <c:ptCount val="3"/>
                <c:pt idx="0">
                  <c:v>559696</c:v>
                </c:pt>
                <c:pt idx="1">
                  <c:v>86120</c:v>
                </c:pt>
                <c:pt idx="2">
                  <c:v>3000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coll'!$G$153:$G$155</c:f>
              <c:numCache>
                <c:formatCode>_(* #,##0_);_(* \(#,##0\);_(* "-"_);_(@_)</c:formatCode>
                <c:ptCount val="3"/>
                <c:pt idx="0">
                  <c:v>493976</c:v>
                </c:pt>
                <c:pt idx="1">
                  <c:v>87725</c:v>
                </c:pt>
                <c:pt idx="2">
                  <c:v>3000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coll'!$H$153:$H$155</c:f>
              <c:numCache>
                <c:formatCode>_(* #,##0_);_(* \(#,##0\);_(* "-"_);_(@_)</c:formatCode>
                <c:ptCount val="3"/>
                <c:pt idx="0">
                  <c:v>507198</c:v>
                </c:pt>
                <c:pt idx="1">
                  <c:v>87725</c:v>
                </c:pt>
                <c:pt idx="2">
                  <c:v>3000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25 - WELFARE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'25-welfare'!$H$94:$H$96</c:f>
              <c:numCache>
                <c:formatCode>_(* #,##0_);_(* \(#,##0\);_(* "-"_);_(@_)</c:formatCode>
                <c:ptCount val="3"/>
                <c:pt idx="0">
                  <c:v>45145</c:v>
                </c:pt>
                <c:pt idx="1">
                  <c:v>130443</c:v>
                </c:pt>
                <c:pt idx="2">
                  <c:v>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'25-welfare'!$C$94:$C$96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'25-welfare'!$D$94:$D$96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'25-welfare'!$E$94:$E$96</c:f>
              <c:numCache>
                <c:formatCode>General</c:formatCode>
                <c:ptCount val="3"/>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'25-welfare'!$F$94:$F$96</c:f>
              <c:numCache>
                <c:formatCode>_(* #,##0_);_(* \(#,##0\);_(* "-"_);_(@_)</c:formatCode>
                <c:ptCount val="3"/>
                <c:pt idx="0">
                  <c:v>47383</c:v>
                </c:pt>
                <c:pt idx="1">
                  <c:v>97762</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'25-welfare'!$G$94:$G$96</c:f>
              <c:numCache>
                <c:formatCode>_(* #,##0_);_(* \(#,##0\);_(* "-"_);_(@_)</c:formatCode>
                <c:ptCount val="3"/>
                <c:pt idx="0">
                  <c:v>46034</c:v>
                </c:pt>
                <c:pt idx="1">
                  <c:v>123306</c:v>
                </c:pt>
                <c:pt idx="2">
                  <c:v>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'25-welfare'!$H$94:$H$96</c:f>
              <c:numCache>
                <c:formatCode>_(* #,##0_);_(* \(#,##0\);_(* "-"_);_(@_)</c:formatCode>
                <c:ptCount val="3"/>
                <c:pt idx="0">
                  <c:v>45145</c:v>
                </c:pt>
                <c:pt idx="1">
                  <c:v>130443</c:v>
                </c:pt>
                <c:pt idx="2">
                  <c:v>0</c:v>
                </c:pt>
              </c:numCache>
            </c:numRef>
          </c:val>
        </c:ser>
        <c:ser>
          <c:idx val="7"/>
          <c:order val="7"/>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'25-welfare'!$I$94:$I$96</c:f>
              <c:numCache>
                <c:formatCode>_(* #,##0_);_(* \(#,##0\);_(* "-"_);_(@_)</c:formatCode>
                <c:ptCount val="3"/>
                <c:pt idx="0">
                  <c:v>45145</c:v>
                </c:pt>
                <c:pt idx="1">
                  <c:v>130443</c:v>
                </c:pt>
                <c:pt idx="2">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10 - WASTEWATER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'10-wastewater'!$H$344:$H$346</c:f>
              <c:numCache>
                <c:formatCode>_(* #,##0_);_(* \(#,##0\);_(* "-"_);_(@_)</c:formatCode>
                <c:ptCount val="3"/>
                <c:pt idx="0">
                  <c:v>2320082</c:v>
                </c:pt>
                <c:pt idx="1">
                  <c:v>1990622.65</c:v>
                </c:pt>
                <c:pt idx="2">
                  <c:v>617500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'10-wastewater'!$C$344:$C$346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'10-wastewater'!$D$344:$D$346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'10-wastewater'!$E$344:$E$346</c:f>
              <c:numCache>
                <c:formatCode>_(* #,##0_);_(* \(#,##0\);_(* "-"_);_(@_)</c:formatCode>
                <c:ptCount val="3"/>
                <c:pt idx="0">
                  <c:v>2063709</c:v>
                </c:pt>
                <c:pt idx="1">
                  <c:v>1802903</c:v>
                </c:pt>
                <c:pt idx="2">
                  <c:v>566399</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'10-wastewater'!$F$344:$F$346</c:f>
              <c:numCache>
                <c:formatCode>_(* #,##0_);_(* \(#,##0\);_(* "-"_);_(@_)</c:formatCode>
                <c:ptCount val="3"/>
                <c:pt idx="0">
                  <c:v>2272594</c:v>
                </c:pt>
                <c:pt idx="1">
                  <c:v>1868135</c:v>
                </c:pt>
                <c:pt idx="2">
                  <c:v>557500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'10-wastewater'!$G$344:$G$346</c:f>
              <c:numCache>
                <c:formatCode>_(* #,##0_);_(* \(#,##0\);_(* "-"_);_(@_)</c:formatCode>
                <c:ptCount val="3"/>
                <c:pt idx="0">
                  <c:v>2320082</c:v>
                </c:pt>
                <c:pt idx="1">
                  <c:v>1990622.65</c:v>
                </c:pt>
                <c:pt idx="2">
                  <c:v>617500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'10-wastewater'!$H$344:$H$346</c:f>
              <c:numCache>
                <c:formatCode>_(* #,##0_);_(* \(#,##0\);_(* "-"_);_(@_)</c:formatCode>
                <c:ptCount val="3"/>
                <c:pt idx="0">
                  <c:v>2320082</c:v>
                </c:pt>
                <c:pt idx="1">
                  <c:v>1990622.65</c:v>
                </c:pt>
                <c:pt idx="2">
                  <c:v>617500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Times New Roman"/>
                <a:ea typeface="Times New Roman"/>
                <a:cs typeface="Times New Roman"/>
              </a:defRPr>
            </a:pPr>
            <a:r>
              <a:rPr lang="en-US"/>
              <a:t>Municipal Property Tax Rate</a:t>
            </a:r>
          </a:p>
        </c:rich>
      </c:tx>
      <c:layout>
        <c:manualLayout>
          <c:xMode val="edge"/>
          <c:yMode val="edge"/>
          <c:x val="0.34434766755073043"/>
          <c:y val="3.3742272144891838E-2"/>
        </c:manualLayout>
      </c:layout>
      <c:overlay val="0"/>
      <c:spPr>
        <a:noFill/>
        <a:ln w="25400">
          <a:noFill/>
        </a:ln>
      </c:spPr>
    </c:title>
    <c:autoTitleDeleted val="0"/>
    <c:plotArea>
      <c:layout>
        <c:manualLayout>
          <c:layoutTarget val="inner"/>
          <c:xMode val="edge"/>
          <c:yMode val="edge"/>
          <c:x val="0.18782608695652173"/>
          <c:y val="0.17177914110429449"/>
          <c:w val="0.78086956521739126"/>
          <c:h val="0.64417177914110424"/>
        </c:manualLayout>
      </c:layout>
      <c:lineChart>
        <c:grouping val="standard"/>
        <c:varyColors val="0"/>
        <c:ser>
          <c:idx val="0"/>
          <c:order val="0"/>
          <c:tx>
            <c:strRef>
              <c:f>'TAX RATE (op budget)'!$F$21</c:f>
              <c:strCache>
                <c:ptCount val="1"/>
                <c:pt idx="0">
                  <c:v>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'TAX RATE (op budget)'!$E$22:$E$50</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'TAX RATE (op budget)'!$F$22:$F$50</c:f>
              <c:numCache>
                <c:formatCode>_(* #,##0.00_);_(* \(#,##0.00\);_(* "-"??_);_(@_)</c:formatCode>
                <c:ptCount val="29"/>
                <c:pt idx="0">
                  <c:v>8.67</c:v>
                </c:pt>
                <c:pt idx="1">
                  <c:v>7.87</c:v>
                </c:pt>
                <c:pt idx="2">
                  <c:v>7.7</c:v>
                </c:pt>
                <c:pt idx="3">
                  <c:v>6.68</c:v>
                </c:pt>
                <c:pt idx="4">
                  <c:v>6</c:v>
                </c:pt>
                <c:pt idx="5">
                  <c:v>5.99</c:v>
                </c:pt>
                <c:pt idx="6">
                  <c:v>5.4</c:v>
                </c:pt>
                <c:pt idx="7">
                  <c:v>5.07</c:v>
                </c:pt>
                <c:pt idx="8">
                  <c:v>3.7</c:v>
                </c:pt>
                <c:pt idx="9">
                  <c:v>5.04</c:v>
                </c:pt>
                <c:pt idx="10">
                  <c:v>5.26</c:v>
                </c:pt>
                <c:pt idx="11" formatCode="General">
                  <c:v>5.1100000000000003</c:v>
                </c:pt>
                <c:pt idx="12" formatCode="General">
                  <c:v>2.82</c:v>
                </c:pt>
                <c:pt idx="13">
                  <c:v>3.54</c:v>
                </c:pt>
                <c:pt idx="14">
                  <c:v>4.2300000000000004</c:v>
                </c:pt>
                <c:pt idx="15">
                  <c:v>4.2300000000000004</c:v>
                </c:pt>
                <c:pt idx="16">
                  <c:v>4.34</c:v>
                </c:pt>
                <c:pt idx="17">
                  <c:v>5.24</c:v>
                </c:pt>
                <c:pt idx="18">
                  <c:v>5.14</c:v>
                </c:pt>
                <c:pt idx="19">
                  <c:v>5.29</c:v>
                </c:pt>
                <c:pt idx="20">
                  <c:v>5.46</c:v>
                </c:pt>
                <c:pt idx="21">
                  <c:v>5.49</c:v>
                </c:pt>
                <c:pt idx="22">
                  <c:v>4.91</c:v>
                </c:pt>
                <c:pt idx="23">
                  <c:v>4.9000000000000004</c:v>
                </c:pt>
                <c:pt idx="24">
                  <c:v>5.0999999999999996</c:v>
                </c:pt>
                <c:pt idx="25">
                  <c:v>4.71</c:v>
                </c:pt>
                <c:pt idx="26">
                  <c:v>5.0599999999999996</c:v>
                </c:pt>
                <c:pt idx="27">
                  <c:v>3.42</c:v>
                </c:pt>
                <c:pt idx="28" formatCode="_(* #,##0.00_);_(* \(#,##0.00\);_(* &quot;-&quot;_);_(@_)">
                  <c:v>3.47</c:v>
                </c:pt>
              </c:numCache>
            </c:numRef>
          </c:val>
          <c:smooth val="0"/>
          <c:extLst xmlns:c16r2="http://schemas.microsoft.com/office/drawing/2015/06/chart">
            <c:ext xmlns:c16="http://schemas.microsoft.com/office/drawing/2014/chart" uri="{C3380CC4-5D6E-409C-BE32-E72D297353CC}">
              <c16:uniqueId val="{00000000-89AE-4F82-960C-DAE507896CED}"/>
            </c:ext>
          </c:extLst>
        </c:ser>
        <c:dLbls>
          <c:showLegendKey val="0"/>
          <c:showVal val="0"/>
          <c:showCatName val="0"/>
          <c:showSerName val="0"/>
          <c:showPercent val="0"/>
          <c:showBubbleSize val="0"/>
        </c:dLbls>
        <c:marker val="1"/>
        <c:smooth val="0"/>
        <c:axId val="495981008"/>
        <c:axId val="497953464"/>
      </c:lineChart>
      <c:catAx>
        <c:axId val="49598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497953464"/>
        <c:crosses val="autoZero"/>
        <c:auto val="1"/>
        <c:lblAlgn val="ctr"/>
        <c:lblOffset val="100"/>
        <c:tickLblSkip val="2"/>
        <c:tickMarkSkip val="1"/>
        <c:noMultiLvlLbl val="0"/>
      </c:catAx>
      <c:valAx>
        <c:axId val="497953464"/>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Times New Roman"/>
                    <a:ea typeface="Times New Roman"/>
                    <a:cs typeface="Times New Roman"/>
                  </a:defRPr>
                </a:pPr>
                <a:r>
                  <a:rPr lang="en-US"/>
                  <a:t>Tax Rate per $1,0000</a:t>
                </a:r>
              </a:p>
            </c:rich>
          </c:tx>
          <c:layout>
            <c:manualLayout>
              <c:xMode val="edge"/>
              <c:yMode val="edge"/>
              <c:x val="5.2173868174735037E-2"/>
              <c:y val="0.29141104103693199"/>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en-US"/>
          </a:p>
        </c:txPr>
        <c:crossAx val="495981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32 - MEDIA SERVICES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'32-Media'!$H$112:$H$114</c:f>
              <c:numCache>
                <c:formatCode>_(* #,##0_);_(* \(#,##0\);_(* "-"_);_(@_)</c:formatCode>
                <c:ptCount val="3"/>
                <c:pt idx="0">
                  <c:v>270405</c:v>
                </c:pt>
                <c:pt idx="1">
                  <c:v>54191</c:v>
                </c:pt>
                <c:pt idx="2">
                  <c:v>55000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'32-Media'!$C$112:$C$114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'32-Media'!$D$112:$D$114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'32-Media'!$E$112:$E$114</c:f>
              <c:numCache>
                <c:formatCode>_(* #,##0_);_(* \(#,##0\);_(* "-"_);_(@_)</c:formatCode>
                <c:ptCount val="3"/>
                <c:pt idx="0">
                  <c:v>224126</c:v>
                </c:pt>
                <c:pt idx="1">
                  <c:v>33720</c:v>
                </c:pt>
                <c:pt idx="2">
                  <c:v>68262</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'32-Media'!$F$112:$F$114</c:f>
              <c:numCache>
                <c:formatCode>_(* #,##0_);_(* \(#,##0\);_(* "-"_);_(@_)</c:formatCode>
                <c:ptCount val="3"/>
                <c:pt idx="0">
                  <c:v>267285</c:v>
                </c:pt>
                <c:pt idx="1">
                  <c:v>59983</c:v>
                </c:pt>
                <c:pt idx="2">
                  <c:v>55000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'32-Media'!$G$112:$G$114</c:f>
              <c:numCache>
                <c:formatCode>_(* #,##0_);_(* \(#,##0\);_(* "-"_);_(@_)</c:formatCode>
                <c:ptCount val="3"/>
                <c:pt idx="0">
                  <c:v>270405</c:v>
                </c:pt>
                <c:pt idx="1">
                  <c:v>61191</c:v>
                </c:pt>
                <c:pt idx="2">
                  <c:v>55000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'32-Media'!$H$112:$H$114</c:f>
              <c:numCache>
                <c:formatCode>_(* #,##0_);_(* \(#,##0\);_(* "-"_);_(@_)</c:formatCode>
                <c:ptCount val="3"/>
                <c:pt idx="0">
                  <c:v>270405</c:v>
                </c:pt>
                <c:pt idx="1">
                  <c:v>54191</c:v>
                </c:pt>
                <c:pt idx="2">
                  <c:v>55000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TOWN BUDGET AS A WHOLE</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Sheet1!$H$155:$H$157</c:f>
              <c:numCache>
                <c:formatCode>_(* #,##0_);_(* \(#,##0\);_(* "-"_);_(@_)</c:formatCode>
                <c:ptCount val="3"/>
                <c:pt idx="0">
                  <c:v>26321319</c:v>
                </c:pt>
                <c:pt idx="1">
                  <c:v>7544301.6500000004</c:v>
                </c:pt>
                <c:pt idx="2">
                  <c:v>6681413</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Sheet1!$C$155:$C$157</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Sheet1!$D$155:$D$157</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Sheet1!$E$155:$E$157</c:f>
              <c:numCache>
                <c:formatCode>_(* #,##0_);_(* \(#,##0\);_(* "-"_);_(@_)</c:formatCode>
                <c:ptCount val="3"/>
                <c:pt idx="0">
                  <c:v>23999497</c:v>
                </c:pt>
                <c:pt idx="1">
                  <c:v>6656767</c:v>
                </c:pt>
                <c:pt idx="2">
                  <c:v>12449711</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Sheet1!$F$155:$F$157</c:f>
              <c:numCache>
                <c:formatCode>_(* #,##0_);_(* \(#,##0\);_(* "-"_);_(@_)</c:formatCode>
                <c:ptCount val="3"/>
                <c:pt idx="0">
                  <c:v>26084619</c:v>
                </c:pt>
                <c:pt idx="1">
                  <c:v>6992190</c:v>
                </c:pt>
                <c:pt idx="2">
                  <c:v>14886003</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Sheet1!$G$155:$G$157</c:f>
              <c:numCache>
                <c:formatCode>_(* #,##0_);_(* \(#,##0\);_(* "-"_);_(@_)</c:formatCode>
                <c:ptCount val="3"/>
                <c:pt idx="0">
                  <c:v>26287848.897280231</c:v>
                </c:pt>
                <c:pt idx="1">
                  <c:v>7614146.6500000004</c:v>
                </c:pt>
                <c:pt idx="2">
                  <c:v>7256413</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Sheet1!$H$155:$H$157</c:f>
              <c:numCache>
                <c:formatCode>_(* #,##0_);_(* \(#,##0\);_(* "-"_);_(@_)</c:formatCode>
                <c:ptCount val="3"/>
                <c:pt idx="0">
                  <c:v>26321319</c:v>
                </c:pt>
                <c:pt idx="1">
                  <c:v>7544301.6500000004</c:v>
                </c:pt>
                <c:pt idx="2">
                  <c:v>6681413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1 - GENERAL GOVERNMENT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gov'!$H$280:$H$282</c:f>
              <c:numCache>
                <c:formatCode>_(* #,##0_);_(* \(#,##0\);_(* "-"_);_(@_)</c:formatCode>
                <c:ptCount val="3"/>
                <c:pt idx="0">
                  <c:v>1474075</c:v>
                </c:pt>
                <c:pt idx="1">
                  <c:v>744130</c:v>
                </c:pt>
                <c:pt idx="2">
                  <c:v>58801</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gov'!$C$280:$C$282</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gov'!$D$280:$D$282</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gov'!$E$280:$E$282</c:f>
              <c:numCache>
                <c:formatCode>_(* #,##0_);_(* \(#,##0\);_(* "-"_);_(@_)</c:formatCode>
                <c:ptCount val="3"/>
                <c:pt idx="0">
                  <c:v>1423954</c:v>
                </c:pt>
                <c:pt idx="1">
                  <c:v>723672</c:v>
                </c:pt>
                <c:pt idx="2">
                  <c:v>96600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gov'!$F$280:$F$282</c:f>
              <c:numCache>
                <c:formatCode>_(* #,##0_);_(* \(#,##0\);_(* "-"_);_(@_)</c:formatCode>
                <c:ptCount val="3"/>
                <c:pt idx="0">
                  <c:v>1540555</c:v>
                </c:pt>
                <c:pt idx="1">
                  <c:v>625105</c:v>
                </c:pt>
                <c:pt idx="2">
                  <c:v>58801</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gov'!$G$280:$G$282</c:f>
              <c:numCache>
                <c:formatCode>_(* #,##0_);_(* \(#,##0\);_(* "-"_);_(@_)</c:formatCode>
                <c:ptCount val="3"/>
                <c:pt idx="0">
                  <c:v>1474075</c:v>
                </c:pt>
                <c:pt idx="1">
                  <c:v>746630</c:v>
                </c:pt>
                <c:pt idx="2">
                  <c:v>58801</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gov'!$H$280:$H$282</c:f>
              <c:numCache>
                <c:formatCode>_(* #,##0_);_(* \(#,##0\);_(* "-"_);_(@_)</c:formatCode>
                <c:ptCount val="3"/>
                <c:pt idx="0">
                  <c:v>1474075</c:v>
                </c:pt>
                <c:pt idx="1">
                  <c:v>744130</c:v>
                </c:pt>
                <c:pt idx="2">
                  <c:v>58801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2</a:t>
            </a:r>
            <a:r>
              <a:rPr lang="en-US" b="1" baseline="0"/>
              <a:t> - </a:t>
            </a:r>
            <a:r>
              <a:rPr lang="en-US" b="1"/>
              <a:t>ASSESSING DEPARTMENT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'02-assessing'!$H$122:$H$124</c:f>
              <c:numCache>
                <c:formatCode>_(* #,##0_);_(* \(#,##0\);_(* "-"_);_(@_)</c:formatCode>
                <c:ptCount val="3"/>
                <c:pt idx="0">
                  <c:v>292572</c:v>
                </c:pt>
                <c:pt idx="1">
                  <c:v>67226</c:v>
                </c:pt>
                <c:pt idx="2">
                  <c:v>20250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'02-assessing'!$C$122:$C$124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'02-assessing'!$D$122:$D$124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'02-assessing'!$E$122:$E$124</c:f>
              <c:numCache>
                <c:formatCode>_(* #,##0_);_(* \(#,##0\);_(* "-"_);_(@_)</c:formatCode>
                <c:ptCount val="3"/>
                <c:pt idx="0">
                  <c:v>263645</c:v>
                </c:pt>
                <c:pt idx="1">
                  <c:v>77974</c:v>
                </c:pt>
                <c:pt idx="2">
                  <c:v>15000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'02-assessing'!$F$122:$F$124</c:f>
              <c:numCache>
                <c:formatCode>_(* #,##0_);_(* \(#,##0\);_(* "-"_);_(@_)</c:formatCode>
                <c:ptCount val="3"/>
                <c:pt idx="0">
                  <c:v>279243</c:v>
                </c:pt>
                <c:pt idx="1">
                  <c:v>61676</c:v>
                </c:pt>
                <c:pt idx="2">
                  <c:v>20250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'02-assessing'!$G$122:$G$124</c:f>
              <c:numCache>
                <c:formatCode>_(* #,##0_);_(* \(#,##0\);_(* "-"_);_(@_)</c:formatCode>
                <c:ptCount val="3"/>
                <c:pt idx="0">
                  <c:v>292572</c:v>
                </c:pt>
                <c:pt idx="1">
                  <c:v>67226</c:v>
                </c:pt>
                <c:pt idx="2">
                  <c:v>20250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'02-assessing'!$H$122:$H$124</c:f>
              <c:numCache>
                <c:formatCode>_(* #,##0_);_(* \(#,##0\);_(* "-"_);_(@_)</c:formatCode>
                <c:ptCount val="3"/>
                <c:pt idx="0">
                  <c:v>292572</c:v>
                </c:pt>
                <c:pt idx="1">
                  <c:v>67226</c:v>
                </c:pt>
                <c:pt idx="2">
                  <c:v>20250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3 - FIRE</a:t>
            </a:r>
            <a:r>
              <a:rPr lang="en-US" b="1" baseline="0"/>
              <a:t>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'03-fire'!$H$377:$H$379</c:f>
              <c:numCache>
                <c:formatCode>_(* #,##0_);_(* \(#,##0\);_(* "-"_);_(@_)</c:formatCode>
                <c:ptCount val="3"/>
                <c:pt idx="0">
                  <c:v>7037933</c:v>
                </c:pt>
                <c:pt idx="1">
                  <c:v>638926</c:v>
                </c:pt>
                <c:pt idx="2">
                  <c:v>585938</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'03-fire'!$C$377:$C$379</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'03-fire'!$D$377:$D$379</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'03-fire'!$E$377:$E$379</c:f>
              <c:numCache>
                <c:formatCode>_(* #,##0_);_(* \(#,##0\);_(* "-"_);_(@_)</c:formatCode>
                <c:ptCount val="3"/>
                <c:pt idx="0">
                  <c:v>6394549</c:v>
                </c:pt>
                <c:pt idx="1">
                  <c:v>559335</c:v>
                </c:pt>
                <c:pt idx="2">
                  <c:v>731178</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'03-fire'!$F$377:$F$379</c:f>
              <c:numCache>
                <c:formatCode>_(* #,##0_);_(* \(#,##0\);_(* "-"_);_(@_)</c:formatCode>
                <c:ptCount val="3"/>
                <c:pt idx="0">
                  <c:v>7090990</c:v>
                </c:pt>
                <c:pt idx="1">
                  <c:v>599625</c:v>
                </c:pt>
                <c:pt idx="2">
                  <c:v>585938</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'03-fire'!$G$377:$G$379</c:f>
              <c:numCache>
                <c:formatCode>_(* #,##0_);_(* \(#,##0\);_(* "-"_);_(@_)</c:formatCode>
                <c:ptCount val="3"/>
                <c:pt idx="0">
                  <c:v>7050597</c:v>
                </c:pt>
                <c:pt idx="1">
                  <c:v>638926</c:v>
                </c:pt>
                <c:pt idx="2">
                  <c:v>585938</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'03-fire'!$H$377:$H$379</c:f>
              <c:numCache>
                <c:formatCode>_(* #,##0_);_(* \(#,##0\);_(* "-"_);_(@_)</c:formatCode>
                <c:ptCount val="3"/>
                <c:pt idx="0">
                  <c:v>7037933</c:v>
                </c:pt>
                <c:pt idx="1">
                  <c:v>638926</c:v>
                </c:pt>
                <c:pt idx="2">
                  <c:v>585938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4 - POLICE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'04-police'!$H$310:$H$312</c:f>
              <c:numCache>
                <c:formatCode>_(* #,##0_);_(* \(#,##0\);_(* "-"_);_(@_)</c:formatCode>
                <c:ptCount val="3"/>
                <c:pt idx="0">
                  <c:v>6813953</c:v>
                </c:pt>
                <c:pt idx="1">
                  <c:v>479216</c:v>
                </c:pt>
                <c:pt idx="2">
                  <c:v>161000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'04-police'!$C$310:$C$312</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'04-police'!$D$310:$D$312</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'04-police'!$E$310:$E$312</c:f>
              <c:numCache>
                <c:formatCode>_(* #,##0_);_(* \(#,##0\);_(* "-"_);_(@_)</c:formatCode>
                <c:ptCount val="3"/>
                <c:pt idx="0">
                  <c:v>6298055</c:v>
                </c:pt>
                <c:pt idx="1">
                  <c:v>401430</c:v>
                </c:pt>
                <c:pt idx="2">
                  <c:v>178211</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'04-police'!$F$310:$F$312</c:f>
              <c:numCache>
                <c:formatCode>_(* #,##0_);_(* \(#,##0\);_(* "-"_);_(@_)</c:formatCode>
                <c:ptCount val="3"/>
                <c:pt idx="0">
                  <c:v>6669865</c:v>
                </c:pt>
                <c:pt idx="1">
                  <c:v>459280</c:v>
                </c:pt>
                <c:pt idx="2">
                  <c:v>132500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'04-police'!$G$310:$G$312</c:f>
              <c:numCache>
                <c:formatCode>_(* #,##0_);_(* \(#,##0\);_(* "-"_);_(@_)</c:formatCode>
                <c:ptCount val="3"/>
                <c:pt idx="0">
                  <c:v>6813953</c:v>
                </c:pt>
                <c:pt idx="1">
                  <c:v>479216</c:v>
                </c:pt>
                <c:pt idx="2">
                  <c:v>211000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'04-police'!$H$310:$H$312</c:f>
              <c:numCache>
                <c:formatCode>_(* #,##0_);_(* \(#,##0\);_(* "-"_);_(@_)</c:formatCode>
                <c:ptCount val="3"/>
                <c:pt idx="0">
                  <c:v>6813953</c:v>
                </c:pt>
                <c:pt idx="1">
                  <c:v>479216</c:v>
                </c:pt>
                <c:pt idx="2">
                  <c:v>161000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5 - COMMUNICATIONS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'05-comm'!$H$157:$H$159</c:f>
              <c:numCache>
                <c:formatCode>_(* #,##0_);_(* \(#,##0\);_(* "-"_);_(@_)</c:formatCode>
                <c:ptCount val="3"/>
                <c:pt idx="0">
                  <c:v>898064</c:v>
                </c:pt>
                <c:pt idx="1">
                  <c:v>182808</c:v>
                </c:pt>
                <c:pt idx="2">
                  <c:v>107000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'05-comm'!$C$157:$C$159</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'05-comm'!$D$157:$D$159</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'05-comm'!$E$157:$E$159</c:f>
              <c:numCache>
                <c:formatCode>_(* #,##0_);_(* \(#,##0\);_(* "-"_);_(@_)</c:formatCode>
                <c:ptCount val="3"/>
                <c:pt idx="0">
                  <c:v>733635</c:v>
                </c:pt>
                <c:pt idx="1">
                  <c:v>104302</c:v>
                </c:pt>
                <c:pt idx="2">
                  <c:v>635217</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'05-comm'!$F$157:$F$159</c:f>
              <c:numCache>
                <c:formatCode>_(* #,##0_);_(* \(#,##0\);_(* "-"_);_(@_)</c:formatCode>
                <c:ptCount val="3"/>
                <c:pt idx="0">
                  <c:v>847045</c:v>
                </c:pt>
                <c:pt idx="1">
                  <c:v>130969</c:v>
                </c:pt>
                <c:pt idx="2">
                  <c:v>869764</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'05-comm'!$G$157:$G$159</c:f>
              <c:numCache>
                <c:formatCode>_(* #,##0_);_(* \(#,##0\);_(* "-"_);_(@_)</c:formatCode>
                <c:ptCount val="3"/>
                <c:pt idx="0">
                  <c:v>898077</c:v>
                </c:pt>
                <c:pt idx="1">
                  <c:v>183808</c:v>
                </c:pt>
                <c:pt idx="2">
                  <c:v>107000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'05-comm'!$H$157:$H$159</c:f>
              <c:numCache>
                <c:formatCode>_(* #,##0_);_(* \(#,##0\);_(* "-"_);_(@_)</c:formatCode>
                <c:ptCount val="3"/>
                <c:pt idx="0">
                  <c:v>898064</c:v>
                </c:pt>
                <c:pt idx="1">
                  <c:v>182808</c:v>
                </c:pt>
                <c:pt idx="2">
                  <c:v>107000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6 - CODE ENFORCEMENT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enforcement'!$H$152:$H$154</c:f>
              <c:numCache>
                <c:formatCode>_(* #,##0_);_(* \(#,##0\);_(* "-"_);_(@_)</c:formatCode>
                <c:ptCount val="3"/>
                <c:pt idx="0">
                  <c:v>463489</c:v>
                </c:pt>
                <c:pt idx="1">
                  <c:v>31353</c:v>
                </c:pt>
                <c:pt idx="2">
                  <c:v>57500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enforcement'!$C$152:$C$154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enforcement'!$D$152:$D$154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enforcement'!$E$152:$E$154</c:f>
              <c:numCache>
                <c:formatCode>_(* #,##0_);_(* \(#,##0\);_(* "-"_);_(@_)</c:formatCode>
                <c:ptCount val="3"/>
                <c:pt idx="0">
                  <c:v>474488</c:v>
                </c:pt>
                <c:pt idx="1">
                  <c:v>18268</c:v>
                </c:pt>
                <c:pt idx="2">
                  <c:v>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enforcement'!$F$152:$F$154</c:f>
              <c:numCache>
                <c:formatCode>_(* #,##0_);_(* \(#,##0\);_(* "-"_);_(@_)</c:formatCode>
                <c:ptCount val="3"/>
                <c:pt idx="0">
                  <c:v>460843</c:v>
                </c:pt>
                <c:pt idx="1">
                  <c:v>30957</c:v>
                </c:pt>
                <c:pt idx="2">
                  <c:v>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enforcement'!$G$152:$G$154</c:f>
              <c:numCache>
                <c:formatCode>_(* #,##0_);_(* \(#,##0\);_(* "-"_);_(@_)</c:formatCode>
                <c:ptCount val="3"/>
                <c:pt idx="0">
                  <c:v>463489</c:v>
                </c:pt>
                <c:pt idx="1">
                  <c:v>31353</c:v>
                </c:pt>
                <c:pt idx="2">
                  <c:v>57500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enforcement'!$H$152:$H$154</c:f>
              <c:numCache>
                <c:formatCode>_(* #,##0_);_(* \(#,##0\);_(* "-"_);_(@_)</c:formatCode>
                <c:ptCount val="3"/>
                <c:pt idx="0">
                  <c:v>463489</c:v>
                </c:pt>
                <c:pt idx="1">
                  <c:v>31353</c:v>
                </c:pt>
                <c:pt idx="2">
                  <c:v>57500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7 - DPW ADMIN DEPARTMENT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works'!$H$144:$H$146</c:f>
              <c:numCache>
                <c:formatCode>_(* #,##0_);_(* \(#,##0\);_(* "-"_);_(@_)</c:formatCode>
                <c:ptCount val="3"/>
                <c:pt idx="0">
                  <c:v>591930</c:v>
                </c:pt>
                <c:pt idx="1">
                  <c:v>29888</c:v>
                </c:pt>
                <c:pt idx="2">
                  <c:v>2000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works'!$C$144:$C$146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works'!$D$144:$D$146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works'!$E$144:$E$146</c:f>
              <c:numCache>
                <c:formatCode>_(* #,##0_);_(* \(#,##0\);_(* "-"_);_(@_)</c:formatCode>
                <c:ptCount val="3"/>
                <c:pt idx="0">
                  <c:v>527334</c:v>
                </c:pt>
                <c:pt idx="1">
                  <c:v>24199</c:v>
                </c:pt>
                <c:pt idx="2">
                  <c:v>1093</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works'!$F$144:$F$146</c:f>
              <c:numCache>
                <c:formatCode>_(* #,##0_);_(* \(#,##0\);_(* "-"_);_(@_)</c:formatCode>
                <c:ptCount val="3"/>
                <c:pt idx="0">
                  <c:v>529689</c:v>
                </c:pt>
                <c:pt idx="1">
                  <c:v>24224</c:v>
                </c:pt>
                <c:pt idx="2">
                  <c:v>2000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works'!$G$144:$G$146</c:f>
              <c:numCache>
                <c:formatCode>_(* #,##0_);_(* \(#,##0\);_(* "-"_);_(@_)</c:formatCode>
                <c:ptCount val="3"/>
                <c:pt idx="0">
                  <c:v>546844</c:v>
                </c:pt>
                <c:pt idx="1">
                  <c:v>28868</c:v>
                </c:pt>
                <c:pt idx="2">
                  <c:v>2000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works'!$H$144:$H$146</c:f>
              <c:numCache>
                <c:formatCode>_(* #,##0_);_(* \(#,##0\);_(* "-"_);_(@_)</c:formatCode>
                <c:ptCount val="3"/>
                <c:pt idx="0">
                  <c:v>591930</c:v>
                </c:pt>
                <c:pt idx="1">
                  <c:v>29888</c:v>
                </c:pt>
                <c:pt idx="2">
                  <c:v>2000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68580</xdr:rowOff>
    </xdr:from>
    <xdr:to>
      <xdr:col>2</xdr:col>
      <xdr:colOff>1600200</xdr:colOff>
      <xdr:row>39</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0.00868</cdr:x>
      <cdr:y>0.01529</cdr:y>
    </cdr:from>
    <cdr:to>
      <cdr:x>0.95546</cdr:x>
      <cdr:y>0.69581</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50800"/>
          <a:ext cx="5193025" cy="2057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21</xdr:row>
      <xdr:rowOff>68580</xdr:rowOff>
    </xdr:from>
    <xdr:to>
      <xdr:col>4</xdr:col>
      <xdr:colOff>0</xdr:colOff>
      <xdr:row>40</xdr:row>
      <xdr:rowOff>99060</xdr:rowOff>
    </xdr:to>
    <xdr:graphicFrame macro="">
      <xdr:nvGraphicFramePr>
        <xdr:cNvPr id="1393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0.00868</cdr:x>
      <cdr:y>0.01529</cdr:y>
    </cdr:from>
    <cdr:to>
      <cdr:x>0.95546</cdr:x>
      <cdr:y>0.69581</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50800"/>
          <a:ext cx="5193025" cy="2057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80961</xdr:rowOff>
    </xdr:from>
    <xdr:to>
      <xdr:col>7</xdr:col>
      <xdr:colOff>428625</xdr:colOff>
      <xdr:row>21</xdr:row>
      <xdr:rowOff>142874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7</xdr:col>
      <xdr:colOff>304800</xdr:colOff>
      <xdr:row>44</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46</xdr:row>
      <xdr:rowOff>0</xdr:rowOff>
    </xdr:from>
    <xdr:to>
      <xdr:col>7</xdr:col>
      <xdr:colOff>304800</xdr:colOff>
      <xdr:row>66</xdr:row>
      <xdr:rowOff>61913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0</xdr:rowOff>
    </xdr:from>
    <xdr:to>
      <xdr:col>7</xdr:col>
      <xdr:colOff>304800</xdr:colOff>
      <xdr:row>89</xdr:row>
      <xdr:rowOff>61913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92</xdr:row>
      <xdr:rowOff>0</xdr:rowOff>
    </xdr:from>
    <xdr:to>
      <xdr:col>7</xdr:col>
      <xdr:colOff>304800</xdr:colOff>
      <xdr:row>112</xdr:row>
      <xdr:rowOff>61913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7</xdr:col>
      <xdr:colOff>304800</xdr:colOff>
      <xdr:row>135</xdr:row>
      <xdr:rowOff>61913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138</xdr:row>
      <xdr:rowOff>0</xdr:rowOff>
    </xdr:from>
    <xdr:to>
      <xdr:col>7</xdr:col>
      <xdr:colOff>304800</xdr:colOff>
      <xdr:row>158</xdr:row>
      <xdr:rowOff>61913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161</xdr:row>
      <xdr:rowOff>0</xdr:rowOff>
    </xdr:from>
    <xdr:to>
      <xdr:col>7</xdr:col>
      <xdr:colOff>304800</xdr:colOff>
      <xdr:row>181</xdr:row>
      <xdr:rowOff>61913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183</xdr:row>
      <xdr:rowOff>0</xdr:rowOff>
    </xdr:from>
    <xdr:to>
      <xdr:col>7</xdr:col>
      <xdr:colOff>304800</xdr:colOff>
      <xdr:row>203</xdr:row>
      <xdr:rowOff>61913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206</xdr:row>
      <xdr:rowOff>0</xdr:rowOff>
    </xdr:from>
    <xdr:to>
      <xdr:col>7</xdr:col>
      <xdr:colOff>304800</xdr:colOff>
      <xdr:row>226</xdr:row>
      <xdr:rowOff>61913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229</xdr:row>
      <xdr:rowOff>0</xdr:rowOff>
    </xdr:from>
    <xdr:to>
      <xdr:col>7</xdr:col>
      <xdr:colOff>304800</xdr:colOff>
      <xdr:row>249</xdr:row>
      <xdr:rowOff>61913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251</xdr:row>
      <xdr:rowOff>0</xdr:rowOff>
    </xdr:from>
    <xdr:to>
      <xdr:col>7</xdr:col>
      <xdr:colOff>304800</xdr:colOff>
      <xdr:row>271</xdr:row>
      <xdr:rowOff>61913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274</xdr:row>
      <xdr:rowOff>0</xdr:rowOff>
    </xdr:from>
    <xdr:to>
      <xdr:col>7</xdr:col>
      <xdr:colOff>304800</xdr:colOff>
      <xdr:row>294</xdr:row>
      <xdr:rowOff>61913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297</xdr:row>
      <xdr:rowOff>0</xdr:rowOff>
    </xdr:from>
    <xdr:to>
      <xdr:col>7</xdr:col>
      <xdr:colOff>304800</xdr:colOff>
      <xdr:row>317</xdr:row>
      <xdr:rowOff>61913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320</xdr:row>
      <xdr:rowOff>0</xdr:rowOff>
    </xdr:from>
    <xdr:to>
      <xdr:col>7</xdr:col>
      <xdr:colOff>304800</xdr:colOff>
      <xdr:row>340</xdr:row>
      <xdr:rowOff>61913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343</xdr:row>
      <xdr:rowOff>0</xdr:rowOff>
    </xdr:from>
    <xdr:to>
      <xdr:col>7</xdr:col>
      <xdr:colOff>304800</xdr:colOff>
      <xdr:row>363</xdr:row>
      <xdr:rowOff>61913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366</xdr:row>
      <xdr:rowOff>0</xdr:rowOff>
    </xdr:from>
    <xdr:to>
      <xdr:col>7</xdr:col>
      <xdr:colOff>304800</xdr:colOff>
      <xdr:row>386</xdr:row>
      <xdr:rowOff>61913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389</xdr:row>
      <xdr:rowOff>0</xdr:rowOff>
    </xdr:from>
    <xdr:to>
      <xdr:col>7</xdr:col>
      <xdr:colOff>304800</xdr:colOff>
      <xdr:row>409</xdr:row>
      <xdr:rowOff>61913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412</xdr:row>
      <xdr:rowOff>0</xdr:rowOff>
    </xdr:from>
    <xdr:to>
      <xdr:col>7</xdr:col>
      <xdr:colOff>304800</xdr:colOff>
      <xdr:row>432</xdr:row>
      <xdr:rowOff>61913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micali/My%20Documents/budget%202010-11/voted/budget%20detail%2020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budget%20detail%20200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budget%20detail%202005-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bob/LOCALS~1/Temp/Administrator/Local%20Settings/Temporary%20Internet%20Files/Content.IE5/YNCLY5G7/budget%20detail%202005-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aul.MERRNET/My%20Documents/budget%202009-10/voted/Approved%20budget%20detail%202009-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micali/My%20Documents/budget%202014-15/department/dpw%20Copy%20of%20budget%202014-15%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SUMMARY BY FUND"/>
      <sheetName val="FUND"/>
      <sheetName val="OBJECT"/>
      <sheetName val="TAX RATE"/>
      <sheetName val="CRF"/>
      <sheetName val="revenue "/>
      <sheetName val="revenue summary(2)"/>
      <sheetName val="Revenue Summary by Fu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mgr adj"/>
      <sheetName val="bos adj"/>
      <sheetName val="budcom adj"/>
      <sheetName val="default"/>
      <sheetName val="summary-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TAX RATE"/>
      <sheetName val="SUMMARY BY FUND"/>
      <sheetName val="CRF"/>
      <sheetName val="revenue "/>
      <sheetName val="revenu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5">
          <cell r="C15">
            <v>15488214.329999998</v>
          </cell>
        </row>
      </sheetData>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51"/>
  <sheetViews>
    <sheetView view="pageBreakPreview" zoomScale="125" zoomScaleNormal="100" zoomScaleSheetLayoutView="125" workbookViewId="0">
      <selection activeCell="B4" sqref="B4"/>
    </sheetView>
  </sheetViews>
  <sheetFormatPr defaultColWidth="8.85546875" defaultRowHeight="12.75" x14ac:dyDescent="0.2"/>
  <cols>
    <col min="1" max="1" width="49.85546875" style="6" customWidth="1"/>
    <col min="2" max="2" width="26" style="6" customWidth="1"/>
    <col min="3" max="3" width="24.7109375" style="6" customWidth="1"/>
    <col min="4" max="4" width="5.28515625" style="6" customWidth="1"/>
    <col min="5" max="5" width="14.7109375" style="405" bestFit="1" customWidth="1"/>
    <col min="6" max="6" width="12.7109375" style="6" customWidth="1"/>
    <col min="7" max="7" width="13.28515625" style="6" customWidth="1"/>
    <col min="8" max="9" width="8.85546875" style="6" customWidth="1"/>
    <col min="10" max="10" width="14.42578125" style="6" bestFit="1" customWidth="1"/>
    <col min="11" max="16384" width="8.85546875" style="6"/>
  </cols>
  <sheetData>
    <row r="1" spans="1:11" x14ac:dyDescent="0.2">
      <c r="A1" s="560" t="s">
        <v>2668</v>
      </c>
      <c r="B1" s="560"/>
      <c r="C1" s="561"/>
      <c r="D1" s="406"/>
    </row>
    <row r="2" spans="1:11" x14ac:dyDescent="0.2">
      <c r="A2" s="404"/>
      <c r="B2" s="404"/>
      <c r="C2" s="81"/>
      <c r="D2" s="407"/>
    </row>
    <row r="3" spans="1:11" x14ac:dyDescent="0.2">
      <c r="A3" s="81"/>
      <c r="B3" s="414">
        <v>2023</v>
      </c>
      <c r="C3" s="414">
        <v>2022</v>
      </c>
      <c r="D3" s="408"/>
    </row>
    <row r="4" spans="1:11" ht="15" x14ac:dyDescent="0.25">
      <c r="A4" s="81" t="s">
        <v>652</v>
      </c>
      <c r="B4" s="83">
        <f>+'SUMMARY BY FUND'!G54</f>
        <v>41759869.649999999</v>
      </c>
      <c r="C4" s="83">
        <f>+'SUMMARY BY FUND'!D54</f>
        <v>48818599</v>
      </c>
      <c r="D4" s="409"/>
      <c r="E4" s="3"/>
      <c r="F4" s="2"/>
      <c r="G4" s="2"/>
      <c r="J4" s="216"/>
      <c r="K4"/>
    </row>
    <row r="5" spans="1:11" ht="15" x14ac:dyDescent="0.25">
      <c r="A5" s="81" t="s">
        <v>653</v>
      </c>
      <c r="B5" s="83">
        <f>-'revenue '!AA270-'TAX RATE (all)'!B7</f>
        <v>-19760194</v>
      </c>
      <c r="C5" s="83">
        <f>-'revenue '!Z270-'TAX RATE (all)'!C7+27787</f>
        <v>-19116712</v>
      </c>
      <c r="D5" s="409"/>
      <c r="E5" s="3">
        <f>+C5-B5</f>
        <v>643482</v>
      </c>
      <c r="F5" s="2"/>
      <c r="G5" s="2"/>
      <c r="J5" s="216"/>
      <c r="K5"/>
    </row>
    <row r="6" spans="1:11" ht="15" x14ac:dyDescent="0.25">
      <c r="A6" s="81"/>
      <c r="B6" s="83"/>
      <c r="C6" s="83"/>
      <c r="D6" s="409"/>
      <c r="E6" s="3"/>
      <c r="F6" s="2"/>
      <c r="G6" s="2"/>
      <c r="J6" s="216"/>
      <c r="K6"/>
    </row>
    <row r="7" spans="1:11" ht="15" x14ac:dyDescent="0.25">
      <c r="A7" s="81" t="s">
        <v>80</v>
      </c>
      <c r="B7" s="83">
        <v>0</v>
      </c>
      <c r="C7" s="83">
        <v>-10102750</v>
      </c>
      <c r="D7" s="409"/>
      <c r="E7" s="3">
        <f>+C7-B7</f>
        <v>-10102750</v>
      </c>
      <c r="F7" s="2"/>
      <c r="G7" s="2"/>
      <c r="J7" s="216"/>
      <c r="K7"/>
    </row>
    <row r="8" spans="1:11" x14ac:dyDescent="0.2">
      <c r="A8" s="81" t="s">
        <v>811</v>
      </c>
      <c r="B8" s="83">
        <v>350000</v>
      </c>
      <c r="C8" s="83">
        <v>332507</v>
      </c>
      <c r="D8" s="409"/>
      <c r="E8" s="3"/>
      <c r="G8" s="2"/>
      <c r="J8"/>
      <c r="K8"/>
    </row>
    <row r="9" spans="1:11" x14ac:dyDescent="0.2">
      <c r="A9" s="81" t="s">
        <v>654</v>
      </c>
      <c r="B9" s="83"/>
      <c r="C9" s="83"/>
      <c r="D9" s="409"/>
      <c r="E9" s="3"/>
      <c r="J9" s="217"/>
      <c r="K9"/>
    </row>
    <row r="10" spans="1:11" ht="15" x14ac:dyDescent="0.25">
      <c r="A10" s="81" t="s">
        <v>655</v>
      </c>
      <c r="B10" s="83">
        <f>-700000-1400000-284500</f>
        <v>-2384500</v>
      </c>
      <c r="C10" s="83">
        <v>-1350000</v>
      </c>
      <c r="D10" s="409"/>
      <c r="E10" s="3"/>
      <c r="J10" s="216"/>
      <c r="K10"/>
    </row>
    <row r="11" spans="1:11" ht="17.25" x14ac:dyDescent="0.4">
      <c r="A11" s="81" t="s">
        <v>1558</v>
      </c>
      <c r="B11" s="361">
        <v>837080</v>
      </c>
      <c r="C11" s="361">
        <v>837080</v>
      </c>
      <c r="D11" s="410"/>
      <c r="E11" s="3"/>
      <c r="G11" s="2"/>
      <c r="J11" s="218"/>
      <c r="K11"/>
    </row>
    <row r="12" spans="1:11" x14ac:dyDescent="0.2">
      <c r="A12" s="81" t="s">
        <v>302</v>
      </c>
      <c r="B12" s="83">
        <f>SUM(B4:B11)</f>
        <v>20802255.649999999</v>
      </c>
      <c r="C12" s="83">
        <f>SUM(C4:C11)</f>
        <v>19418724</v>
      </c>
      <c r="D12" s="409"/>
      <c r="E12" s="3"/>
      <c r="F12" s="2"/>
      <c r="G12" s="2"/>
      <c r="J12" s="217"/>
      <c r="K12" s="219"/>
    </row>
    <row r="13" spans="1:11" x14ac:dyDescent="0.2">
      <c r="A13" s="81"/>
      <c r="B13" s="83"/>
      <c r="C13" s="83"/>
      <c r="D13" s="409"/>
    </row>
    <row r="14" spans="1:11" x14ac:dyDescent="0.2">
      <c r="A14" s="81"/>
      <c r="B14" s="83"/>
      <c r="C14" s="83"/>
      <c r="D14" s="409"/>
    </row>
    <row r="15" spans="1:11" x14ac:dyDescent="0.2">
      <c r="A15" s="81" t="s">
        <v>656</v>
      </c>
      <c r="B15" s="360">
        <f>5038905.168+E15</f>
        <v>5062905.1679999996</v>
      </c>
      <c r="C15" s="360">
        <v>5038905.1679999996</v>
      </c>
      <c r="D15" s="411"/>
      <c r="E15" s="51">
        <v>24000</v>
      </c>
    </row>
    <row r="16" spans="1:11" x14ac:dyDescent="0.2">
      <c r="A16" s="81"/>
      <c r="B16" s="83"/>
      <c r="C16" s="83"/>
      <c r="D16" s="409"/>
      <c r="G16" s="69"/>
      <c r="J16" s="171"/>
    </row>
    <row r="17" spans="1:10" ht="15" x14ac:dyDescent="0.35">
      <c r="A17" s="81" t="s">
        <v>657</v>
      </c>
      <c r="B17" s="359">
        <f>ROUND(B12/B15,2)</f>
        <v>4.1100000000000003</v>
      </c>
      <c r="C17" s="359">
        <f>ROUND(C12/C15,2)+0.01</f>
        <v>3.86</v>
      </c>
      <c r="D17" s="412"/>
      <c r="E17" s="15"/>
      <c r="G17" s="25">
        <f>+C17-B17</f>
        <v>-0.25000000000000044</v>
      </c>
      <c r="J17" s="174"/>
    </row>
    <row r="18" spans="1:10" x14ac:dyDescent="0.2">
      <c r="A18" s="81"/>
      <c r="B18" s="83"/>
      <c r="C18" s="83"/>
      <c r="D18" s="409"/>
      <c r="E18" s="15">
        <f>+B17-C17</f>
        <v>0.25000000000000044</v>
      </c>
      <c r="F18" s="6">
        <f>+E18*300</f>
        <v>75.000000000000128</v>
      </c>
      <c r="G18" s="25">
        <f>+G17+0.21</f>
        <v>-4.0000000000000452E-2</v>
      </c>
      <c r="J18" s="175"/>
    </row>
    <row r="19" spans="1:10" x14ac:dyDescent="0.2">
      <c r="B19" s="25"/>
      <c r="E19" s="86">
        <f>+E18/C17</f>
        <v>6.4766839378238461E-2</v>
      </c>
    </row>
    <row r="20" spans="1:10" x14ac:dyDescent="0.2">
      <c r="B20" s="25"/>
      <c r="C20" s="25"/>
      <c r="D20" s="25"/>
    </row>
    <row r="21" spans="1:10" x14ac:dyDescent="0.2">
      <c r="E21" s="42" t="s">
        <v>658</v>
      </c>
      <c r="F21" s="35" t="s">
        <v>659</v>
      </c>
    </row>
    <row r="22" spans="1:10" x14ac:dyDescent="0.2">
      <c r="E22" s="405">
        <v>1994</v>
      </c>
      <c r="F22" s="25">
        <v>8.67</v>
      </c>
    </row>
    <row r="23" spans="1:10" x14ac:dyDescent="0.2">
      <c r="E23" s="405">
        <v>1995</v>
      </c>
      <c r="F23" s="25">
        <v>7.87</v>
      </c>
    </row>
    <row r="24" spans="1:10" x14ac:dyDescent="0.2">
      <c r="E24" s="405">
        <v>1996</v>
      </c>
      <c r="F24" s="25">
        <v>7.7</v>
      </c>
    </row>
    <row r="25" spans="1:10" x14ac:dyDescent="0.2">
      <c r="E25" s="405">
        <v>1997</v>
      </c>
      <c r="F25" s="25">
        <v>6.68</v>
      </c>
    </row>
    <row r="26" spans="1:10" x14ac:dyDescent="0.2">
      <c r="E26" s="405">
        <v>1998</v>
      </c>
      <c r="F26" s="25">
        <v>6</v>
      </c>
    </row>
    <row r="27" spans="1:10" x14ac:dyDescent="0.2">
      <c r="E27" s="405">
        <v>1999</v>
      </c>
      <c r="F27" s="25">
        <v>5.99</v>
      </c>
    </row>
    <row r="28" spans="1:10" x14ac:dyDescent="0.2">
      <c r="E28" s="405">
        <v>2000</v>
      </c>
      <c r="F28" s="25">
        <v>5.4</v>
      </c>
      <c r="J28" s="6" t="s">
        <v>418</v>
      </c>
    </row>
    <row r="29" spans="1:10" x14ac:dyDescent="0.2">
      <c r="E29" s="405">
        <v>2001</v>
      </c>
      <c r="F29" s="25">
        <v>5.07</v>
      </c>
    </row>
    <row r="30" spans="1:10" x14ac:dyDescent="0.2">
      <c r="E30" s="405">
        <v>2002</v>
      </c>
      <c r="F30" s="25">
        <v>3.7</v>
      </c>
    </row>
    <row r="31" spans="1:10" x14ac:dyDescent="0.2">
      <c r="E31" s="405">
        <v>2003</v>
      </c>
      <c r="F31" s="25">
        <v>5.04</v>
      </c>
    </row>
    <row r="32" spans="1:10" x14ac:dyDescent="0.2">
      <c r="E32" s="405">
        <v>2004</v>
      </c>
      <c r="F32" s="25">
        <v>5.26</v>
      </c>
    </row>
    <row r="33" spans="3:6" x14ac:dyDescent="0.2">
      <c r="E33" s="405">
        <v>2005</v>
      </c>
      <c r="F33" s="6">
        <v>5.1100000000000003</v>
      </c>
    </row>
    <row r="34" spans="3:6" x14ac:dyDescent="0.2">
      <c r="E34" s="405">
        <v>2006</v>
      </c>
      <c r="F34" s="6">
        <v>2.82</v>
      </c>
    </row>
    <row r="35" spans="3:6" x14ac:dyDescent="0.2">
      <c r="E35" s="405">
        <v>2007</v>
      </c>
      <c r="F35" s="25">
        <v>3.54</v>
      </c>
    </row>
    <row r="36" spans="3:6" x14ac:dyDescent="0.2">
      <c r="E36" s="405">
        <v>2008</v>
      </c>
      <c r="F36" s="25">
        <v>4.2300000000000004</v>
      </c>
    </row>
    <row r="37" spans="3:6" x14ac:dyDescent="0.2">
      <c r="E37" s="405">
        <v>2009</v>
      </c>
      <c r="F37" s="25">
        <v>4.2300000000000004</v>
      </c>
    </row>
    <row r="38" spans="3:6" x14ac:dyDescent="0.2">
      <c r="E38" s="405">
        <v>2010</v>
      </c>
      <c r="F38" s="25">
        <v>4.34</v>
      </c>
    </row>
    <row r="39" spans="3:6" x14ac:dyDescent="0.2">
      <c r="E39" s="405">
        <v>2011</v>
      </c>
      <c r="F39" s="25">
        <v>5.24</v>
      </c>
    </row>
    <row r="40" spans="3:6" x14ac:dyDescent="0.2">
      <c r="E40" s="405">
        <v>2012</v>
      </c>
      <c r="F40" s="25">
        <v>5.14</v>
      </c>
    </row>
    <row r="41" spans="3:6" x14ac:dyDescent="0.2">
      <c r="E41" s="405">
        <v>2013</v>
      </c>
      <c r="F41" s="25">
        <v>5.29</v>
      </c>
    </row>
    <row r="42" spans="3:6" x14ac:dyDescent="0.2">
      <c r="E42" s="405">
        <v>2014</v>
      </c>
      <c r="F42" s="25">
        <v>5.46</v>
      </c>
    </row>
    <row r="43" spans="3:6" x14ac:dyDescent="0.2">
      <c r="E43" s="405">
        <v>2015</v>
      </c>
      <c r="F43" s="25">
        <v>5.49</v>
      </c>
    </row>
    <row r="44" spans="3:6" x14ac:dyDescent="0.2">
      <c r="E44" s="405">
        <v>2016</v>
      </c>
      <c r="F44" s="25">
        <v>4.91</v>
      </c>
    </row>
    <row r="45" spans="3:6" x14ac:dyDescent="0.2">
      <c r="E45" s="405">
        <v>2017</v>
      </c>
      <c r="F45" s="25">
        <v>4.9000000000000004</v>
      </c>
    </row>
    <row r="46" spans="3:6" x14ac:dyDescent="0.2">
      <c r="C46" s="25"/>
      <c r="D46" s="25"/>
      <c r="E46" s="405">
        <v>2018</v>
      </c>
      <c r="F46" s="25">
        <v>5.0999999999999996</v>
      </c>
    </row>
    <row r="47" spans="3:6" x14ac:dyDescent="0.2">
      <c r="E47" s="405">
        <v>2019</v>
      </c>
      <c r="F47" s="25">
        <v>4.71</v>
      </c>
    </row>
    <row r="48" spans="3:6" x14ac:dyDescent="0.2">
      <c r="E48" s="405">
        <v>2020</v>
      </c>
      <c r="F48" s="25">
        <v>5.0599999999999996</v>
      </c>
    </row>
    <row r="49" spans="2:6" x14ac:dyDescent="0.2">
      <c r="B49" s="40"/>
      <c r="E49" s="405">
        <v>2021</v>
      </c>
      <c r="F49" s="25">
        <v>3.82</v>
      </c>
    </row>
    <row r="50" spans="2:6" x14ac:dyDescent="0.2">
      <c r="B50" s="40"/>
      <c r="C50" s="25"/>
      <c r="D50" s="25"/>
      <c r="E50" s="405">
        <v>2022</v>
      </c>
      <c r="F50" s="401">
        <f>+C17</f>
        <v>3.86</v>
      </c>
    </row>
    <row r="51" spans="2:6" x14ac:dyDescent="0.2">
      <c r="C51" s="39"/>
      <c r="D51" s="39"/>
      <c r="E51" s="405">
        <v>2023</v>
      </c>
      <c r="F51" s="401">
        <f>B17</f>
        <v>4.1100000000000003</v>
      </c>
    </row>
  </sheetData>
  <mergeCells count="1">
    <mergeCell ref="A1:C1"/>
  </mergeCells>
  <pageMargins left="0.75" right="0.25" top="1" bottom="1" header="0.5" footer="0.5"/>
  <pageSetup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130"/>
  <sheetViews>
    <sheetView view="pageBreakPreview" topLeftCell="B1" zoomScaleNormal="100" zoomScaleSheetLayoutView="100" workbookViewId="0">
      <pane ySplit="5" topLeftCell="A98" activePane="bottomLeft" state="frozen"/>
      <selection activeCell="D43" sqref="D43"/>
      <selection pane="bottomLeft" activeCell="J6" sqref="J6:J118"/>
    </sheetView>
  </sheetViews>
  <sheetFormatPr defaultColWidth="8.85546875" defaultRowHeight="12.75" x14ac:dyDescent="0.2"/>
  <cols>
    <col min="1" max="1" width="57.140625" style="491" bestFit="1" customWidth="1"/>
    <col min="2" max="3" width="8.85546875" style="491" customWidth="1"/>
    <col min="4" max="4" width="11.140625" style="491" bestFit="1" customWidth="1"/>
    <col min="5" max="5" width="11.42578125" style="491" bestFit="1" customWidth="1"/>
    <col min="6" max="6" width="9.140625" style="491" bestFit="1" customWidth="1"/>
    <col min="7" max="7" width="11" style="491" bestFit="1" customWidth="1"/>
    <col min="8" max="8" width="12.7109375" style="491" customWidth="1"/>
    <col min="9" max="9" width="9.42578125" style="491" bestFit="1" customWidth="1"/>
    <col min="10" max="10" width="9.140625" style="491" bestFit="1" customWidth="1"/>
    <col min="11" max="16384" width="8.85546875" style="491"/>
  </cols>
  <sheetData>
    <row r="1" spans="1:10" x14ac:dyDescent="0.2">
      <c r="A1" s="562" t="str">
        <f>'SUMMARY BY FUND'!A1:J1</f>
        <v>2023-24 BUDGET</v>
      </c>
      <c r="B1" s="562"/>
      <c r="C1" s="562"/>
      <c r="D1" s="562"/>
      <c r="E1" s="562"/>
      <c r="F1" s="562"/>
      <c r="G1" s="562"/>
      <c r="H1" s="562"/>
      <c r="I1" s="562"/>
      <c r="J1" s="562"/>
    </row>
    <row r="2" spans="1:10" ht="18.75" x14ac:dyDescent="0.3">
      <c r="A2" s="202" t="s">
        <v>1872</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92" t="s">
        <v>2163</v>
      </c>
      <c r="F5" s="492" t="s">
        <v>2290</v>
      </c>
      <c r="G5" s="492" t="s">
        <v>2507</v>
      </c>
      <c r="H5" s="492" t="s">
        <v>2507</v>
      </c>
      <c r="I5" s="492" t="s">
        <v>2507</v>
      </c>
      <c r="J5" s="492" t="s">
        <v>2507</v>
      </c>
    </row>
    <row r="6" spans="1:10" ht="13.5" x14ac:dyDescent="0.25">
      <c r="A6" s="494" t="s">
        <v>1596</v>
      </c>
      <c r="B6" s="3"/>
      <c r="C6" s="3"/>
      <c r="D6" s="3"/>
      <c r="E6" s="3">
        <v>53456</v>
      </c>
      <c r="F6" s="3">
        <v>60632</v>
      </c>
      <c r="G6" s="3">
        <v>69160</v>
      </c>
      <c r="H6" s="3">
        <v>69160</v>
      </c>
      <c r="I6" s="3">
        <v>71604</v>
      </c>
      <c r="J6" s="3"/>
    </row>
    <row r="7" spans="1:10" x14ac:dyDescent="0.2">
      <c r="A7" s="491" t="s">
        <v>1522</v>
      </c>
      <c r="B7" s="3">
        <v>52</v>
      </c>
      <c r="C7" s="3">
        <v>1377</v>
      </c>
      <c r="D7" s="3">
        <f>ROUND(B7*C7,0)</f>
        <v>71604</v>
      </c>
      <c r="E7" s="3"/>
      <c r="F7" s="3"/>
      <c r="G7" s="3"/>
      <c r="H7" s="3"/>
      <c r="I7" s="3"/>
      <c r="J7" s="3"/>
    </row>
    <row r="8" spans="1:10" ht="15" x14ac:dyDescent="0.35">
      <c r="A8" s="3" t="s">
        <v>1039</v>
      </c>
      <c r="B8" s="3"/>
      <c r="C8" s="3"/>
      <c r="D8" s="14">
        <v>0</v>
      </c>
      <c r="E8" s="3"/>
      <c r="F8" s="3"/>
      <c r="G8" s="3"/>
      <c r="H8" s="3"/>
      <c r="I8" s="3"/>
      <c r="J8" s="3"/>
    </row>
    <row r="9" spans="1:10" x14ac:dyDescent="0.2">
      <c r="B9" s="3"/>
      <c r="C9" s="3"/>
      <c r="D9" s="3">
        <f>SUM(D7:D8)</f>
        <v>71604</v>
      </c>
      <c r="E9" s="3"/>
      <c r="F9" s="3"/>
      <c r="G9" s="3"/>
      <c r="H9" s="3"/>
      <c r="I9" s="3"/>
      <c r="J9" s="3"/>
    </row>
    <row r="10" spans="1:10" x14ac:dyDescent="0.2">
      <c r="B10" s="3"/>
      <c r="C10" s="3"/>
      <c r="D10" s="3"/>
      <c r="E10" s="3"/>
      <c r="F10" s="3"/>
      <c r="G10" s="3"/>
      <c r="H10" s="3"/>
      <c r="I10" s="3"/>
      <c r="J10" s="3"/>
    </row>
    <row r="11" spans="1:10" ht="13.5" x14ac:dyDescent="0.25">
      <c r="A11" s="494" t="s">
        <v>327</v>
      </c>
      <c r="B11" s="3"/>
      <c r="C11" s="3"/>
      <c r="D11" s="3"/>
      <c r="E11" s="3">
        <v>111219</v>
      </c>
      <c r="F11" s="3">
        <v>114088</v>
      </c>
      <c r="G11" s="3">
        <v>114067</v>
      </c>
      <c r="H11" s="3">
        <v>114067</v>
      </c>
      <c r="I11" s="3">
        <v>118028</v>
      </c>
      <c r="J11" s="3"/>
    </row>
    <row r="12" spans="1:10" x14ac:dyDescent="0.2">
      <c r="A12" s="491" t="s">
        <v>350</v>
      </c>
      <c r="B12" s="3">
        <v>52</v>
      </c>
      <c r="C12" s="3">
        <v>1342.76</v>
      </c>
      <c r="D12" s="3">
        <f>ROUND(B12*C12,0)</f>
        <v>69824</v>
      </c>
      <c r="E12" s="3"/>
      <c r="F12" s="3"/>
      <c r="G12" s="3"/>
      <c r="H12" s="3"/>
      <c r="I12" s="3"/>
      <c r="J12" s="3"/>
    </row>
    <row r="13" spans="1:10" ht="15" x14ac:dyDescent="0.35">
      <c r="A13" s="491" t="s">
        <v>1597</v>
      </c>
      <c r="B13" s="3">
        <v>52</v>
      </c>
      <c r="C13" s="3">
        <v>927</v>
      </c>
      <c r="D13" s="14">
        <f>ROUND(B13*C13,0)</f>
        <v>48204</v>
      </c>
      <c r="E13" s="3"/>
      <c r="F13" s="14"/>
      <c r="G13" s="14"/>
      <c r="H13" s="14"/>
      <c r="I13" s="14"/>
      <c r="J13" s="14"/>
    </row>
    <row r="14" spans="1:10" x14ac:dyDescent="0.2">
      <c r="A14" s="491" t="s">
        <v>1320</v>
      </c>
      <c r="B14" s="3"/>
      <c r="C14" s="3"/>
      <c r="D14" s="3">
        <f>SUM(D12:D13)</f>
        <v>118028</v>
      </c>
      <c r="E14" s="3"/>
      <c r="F14" s="3"/>
      <c r="G14" s="3"/>
      <c r="H14" s="3"/>
      <c r="I14" s="3"/>
      <c r="J14" s="3"/>
    </row>
    <row r="15" spans="1:10" x14ac:dyDescent="0.2">
      <c r="B15" s="3"/>
      <c r="C15" s="3"/>
      <c r="D15" s="3"/>
      <c r="E15" s="3"/>
      <c r="F15" s="3"/>
      <c r="G15" s="3"/>
      <c r="H15" s="3"/>
      <c r="I15" s="3"/>
      <c r="J15" s="3"/>
    </row>
    <row r="16" spans="1:10" ht="13.5" x14ac:dyDescent="0.25">
      <c r="A16" s="494" t="s">
        <v>2154</v>
      </c>
      <c r="B16" s="3"/>
      <c r="C16" s="15"/>
      <c r="D16" s="3"/>
      <c r="E16" s="3">
        <v>534</v>
      </c>
      <c r="F16" s="3">
        <v>1050</v>
      </c>
      <c r="G16" s="3">
        <v>1101</v>
      </c>
      <c r="H16" s="3">
        <v>1101</v>
      </c>
      <c r="I16" s="3">
        <v>1101</v>
      </c>
      <c r="J16" s="3"/>
    </row>
    <row r="17" spans="1:10" x14ac:dyDescent="0.2">
      <c r="A17" s="491" t="s">
        <v>2085</v>
      </c>
      <c r="B17" s="3">
        <v>25</v>
      </c>
      <c r="C17" s="15">
        <f>AVERAGE(C7,C12,C13)/40*1.5</f>
        <v>45.584500000000006</v>
      </c>
      <c r="D17" s="3">
        <f>+C17*B17</f>
        <v>1139.6125000000002</v>
      </c>
      <c r="I17" s="557"/>
      <c r="J17" s="557"/>
    </row>
    <row r="18" spans="1:10" x14ac:dyDescent="0.2">
      <c r="B18" s="3"/>
      <c r="C18" s="3"/>
      <c r="D18" s="3"/>
      <c r="E18" s="3"/>
      <c r="F18" s="3"/>
      <c r="G18" s="3"/>
      <c r="H18" s="3"/>
      <c r="I18" s="3"/>
      <c r="J18" s="3"/>
    </row>
    <row r="19" spans="1:10" x14ac:dyDescent="0.2">
      <c r="B19" s="3"/>
      <c r="C19" s="3"/>
      <c r="D19" s="3"/>
      <c r="E19" s="3"/>
      <c r="F19" s="3"/>
      <c r="G19" s="3"/>
      <c r="H19" s="3"/>
      <c r="I19" s="3"/>
      <c r="J19" s="3"/>
    </row>
    <row r="20" spans="1:10" ht="13.5" x14ac:dyDescent="0.25">
      <c r="A20" s="494" t="s">
        <v>129</v>
      </c>
      <c r="D20" s="3"/>
      <c r="E20" s="3">
        <v>12319</v>
      </c>
      <c r="F20" s="3">
        <v>13446</v>
      </c>
      <c r="G20" s="3">
        <v>14101</v>
      </c>
      <c r="H20" s="3">
        <v>14101</v>
      </c>
      <c r="I20" s="3">
        <v>14594</v>
      </c>
      <c r="J20" s="3"/>
    </row>
    <row r="21" spans="1:10" x14ac:dyDescent="0.2">
      <c r="A21" s="16" t="s">
        <v>1536</v>
      </c>
      <c r="B21" s="3">
        <f>+D9</f>
        <v>71604</v>
      </c>
      <c r="C21" s="17">
        <v>7.6499999999999999E-2</v>
      </c>
      <c r="D21" s="3">
        <f>ROUND(B21*C21,0)</f>
        <v>5478</v>
      </c>
      <c r="E21" s="3"/>
      <c r="I21" s="557"/>
      <c r="J21" s="557"/>
    </row>
    <row r="22" spans="1:10" x14ac:dyDescent="0.2">
      <c r="A22" s="16" t="s">
        <v>883</v>
      </c>
      <c r="B22" s="3">
        <f>+D14</f>
        <v>118028</v>
      </c>
      <c r="C22" s="17">
        <v>7.6499999999999999E-2</v>
      </c>
      <c r="D22" s="3">
        <f>ROUND(B22*C22,0)</f>
        <v>9029</v>
      </c>
      <c r="E22" s="3"/>
      <c r="I22" s="557"/>
      <c r="J22" s="557"/>
    </row>
    <row r="23" spans="1:10" ht="15" x14ac:dyDescent="0.35">
      <c r="A23" s="16" t="s">
        <v>197</v>
      </c>
      <c r="B23" s="3">
        <f>+D17</f>
        <v>1139.6125000000002</v>
      </c>
      <c r="C23" s="17">
        <v>7.6499999999999999E-2</v>
      </c>
      <c r="D23" s="14">
        <f>ROUND(B23*C23,0)</f>
        <v>87</v>
      </c>
      <c r="E23" s="14"/>
      <c r="F23" s="14"/>
      <c r="G23" s="14"/>
      <c r="H23" s="14"/>
      <c r="I23" s="14"/>
      <c r="J23" s="14"/>
    </row>
    <row r="24" spans="1:10" x14ac:dyDescent="0.2">
      <c r="A24" s="491" t="s">
        <v>1320</v>
      </c>
      <c r="B24" s="3"/>
      <c r="D24" s="3">
        <f>SUM(D21:D23)</f>
        <v>14594</v>
      </c>
      <c r="E24" s="3"/>
      <c r="F24" s="3"/>
      <c r="G24" s="3"/>
      <c r="H24" s="3"/>
      <c r="I24" s="3"/>
      <c r="J24" s="3"/>
    </row>
    <row r="25" spans="1:10" x14ac:dyDescent="0.2">
      <c r="B25" s="3"/>
      <c r="D25" s="3"/>
      <c r="E25" s="3"/>
      <c r="F25" s="3"/>
      <c r="G25" s="3"/>
      <c r="H25" s="3"/>
      <c r="I25" s="3"/>
      <c r="J25" s="3"/>
    </row>
    <row r="26" spans="1:10" ht="13.5" x14ac:dyDescent="0.25">
      <c r="A26" s="18" t="s">
        <v>1480</v>
      </c>
      <c r="B26" s="3"/>
      <c r="D26" s="3"/>
      <c r="E26" s="3">
        <v>23265</v>
      </c>
      <c r="F26" s="3">
        <v>24714</v>
      </c>
      <c r="G26" s="3">
        <v>24939</v>
      </c>
      <c r="H26" s="3">
        <v>24939</v>
      </c>
      <c r="I26" s="3">
        <v>25811</v>
      </c>
      <c r="J26" s="3"/>
    </row>
    <row r="27" spans="1:10" x14ac:dyDescent="0.2">
      <c r="A27" s="16" t="s">
        <v>1536</v>
      </c>
      <c r="B27" s="3">
        <f>+B21</f>
        <v>71604</v>
      </c>
      <c r="C27" s="495">
        <v>0.1353</v>
      </c>
      <c r="D27" s="3">
        <f>ROUND(B27*C27,0)</f>
        <v>9688</v>
      </c>
      <c r="E27" s="3"/>
      <c r="F27" s="3"/>
      <c r="G27" s="3"/>
      <c r="H27" s="3"/>
      <c r="I27" s="3"/>
      <c r="J27" s="3"/>
    </row>
    <row r="28" spans="1:10" ht="15" x14ac:dyDescent="0.35">
      <c r="A28" s="16" t="s">
        <v>883</v>
      </c>
      <c r="B28" s="3">
        <f>+D14</f>
        <v>118028</v>
      </c>
      <c r="C28" s="495">
        <v>0.1353</v>
      </c>
      <c r="D28" s="3">
        <f>ROUND(B28*C28,0)</f>
        <v>15969</v>
      </c>
      <c r="E28" s="14"/>
      <c r="F28" s="14"/>
      <c r="G28" s="14"/>
      <c r="H28" s="14"/>
      <c r="I28" s="14"/>
      <c r="J28" s="14"/>
    </row>
    <row r="29" spans="1:10" ht="15" x14ac:dyDescent="0.35">
      <c r="A29" s="16" t="s">
        <v>197</v>
      </c>
      <c r="B29" s="3">
        <f>+B23</f>
        <v>1139.6125000000002</v>
      </c>
      <c r="C29" s="495">
        <v>0.1353</v>
      </c>
      <c r="D29" s="14">
        <f>ROUND(B29*C29,0)</f>
        <v>154</v>
      </c>
      <c r="E29" s="14"/>
      <c r="F29" s="14"/>
      <c r="G29" s="14"/>
      <c r="H29" s="14"/>
      <c r="I29" s="14"/>
      <c r="J29" s="14"/>
    </row>
    <row r="30" spans="1:10" x14ac:dyDescent="0.2">
      <c r="A30" s="491" t="s">
        <v>1320</v>
      </c>
      <c r="D30" s="3">
        <f>SUM(D27:D29)</f>
        <v>25811</v>
      </c>
      <c r="E30" s="3"/>
      <c r="F30" s="3"/>
      <c r="G30" s="3"/>
      <c r="H30" s="3"/>
      <c r="I30" s="3"/>
      <c r="J30" s="3"/>
    </row>
    <row r="31" spans="1:10" x14ac:dyDescent="0.2">
      <c r="D31" s="3"/>
      <c r="E31" s="3"/>
      <c r="F31" s="3"/>
      <c r="G31" s="3"/>
      <c r="H31" s="3"/>
      <c r="I31" s="3"/>
      <c r="J31" s="3"/>
    </row>
    <row r="32" spans="1:10" ht="13.5" x14ac:dyDescent="0.25">
      <c r="A32" s="494" t="s">
        <v>1582</v>
      </c>
      <c r="D32" s="3"/>
      <c r="E32" s="3">
        <v>55154</v>
      </c>
      <c r="F32" s="3">
        <v>57000</v>
      </c>
      <c r="G32" s="3">
        <v>60750</v>
      </c>
      <c r="H32" s="3">
        <v>60750</v>
      </c>
      <c r="I32" s="3">
        <v>60750</v>
      </c>
      <c r="J32" s="3"/>
    </row>
    <row r="33" spans="1:10" x14ac:dyDescent="0.2">
      <c r="A33" s="491" t="s">
        <v>440</v>
      </c>
      <c r="B33" s="3">
        <v>3</v>
      </c>
      <c r="C33" s="3">
        <v>20250</v>
      </c>
      <c r="D33" s="3">
        <f>ROUND(B33*C33,0)</f>
        <v>60750</v>
      </c>
      <c r="E33" s="3"/>
      <c r="F33" s="3"/>
      <c r="G33" s="3"/>
      <c r="H33" s="3"/>
      <c r="I33" s="3"/>
      <c r="J33" s="3"/>
    </row>
    <row r="34" spans="1:10" x14ac:dyDescent="0.2">
      <c r="D34" s="3"/>
      <c r="E34" s="3"/>
      <c r="F34" s="3"/>
      <c r="G34" s="3"/>
      <c r="H34" s="3"/>
      <c r="I34" s="3"/>
      <c r="J34" s="3"/>
    </row>
    <row r="35" spans="1:10" ht="13.5" x14ac:dyDescent="0.25">
      <c r="A35" s="494" t="s">
        <v>359</v>
      </c>
      <c r="D35" s="3"/>
      <c r="E35" s="3">
        <v>3632</v>
      </c>
      <c r="F35" s="3">
        <v>3713</v>
      </c>
      <c r="G35" s="3">
        <v>3713</v>
      </c>
      <c r="H35" s="3">
        <v>3713</v>
      </c>
      <c r="I35" s="3">
        <v>3713</v>
      </c>
      <c r="J35" s="3"/>
    </row>
    <row r="36" spans="1:10" x14ac:dyDescent="0.2">
      <c r="A36" s="3" t="s">
        <v>440</v>
      </c>
      <c r="B36" s="3">
        <v>3</v>
      </c>
      <c r="C36" s="3">
        <v>1375</v>
      </c>
      <c r="D36" s="3">
        <f>ROUND(B36*C36,0)</f>
        <v>4125</v>
      </c>
      <c r="E36" s="3"/>
      <c r="F36" s="3"/>
      <c r="G36" s="3"/>
      <c r="H36" s="3"/>
      <c r="I36" s="3"/>
      <c r="J36" s="3"/>
    </row>
    <row r="37" spans="1:10" ht="15" x14ac:dyDescent="0.35">
      <c r="A37" s="3" t="s">
        <v>243</v>
      </c>
      <c r="B37" s="3"/>
      <c r="C37" s="3"/>
      <c r="D37" s="14">
        <f>-C36*0.1*B36</f>
        <v>-412.5</v>
      </c>
      <c r="E37" s="3"/>
      <c r="F37" s="3"/>
      <c r="G37" s="3"/>
      <c r="H37" s="3"/>
      <c r="I37" s="3"/>
      <c r="J37" s="3"/>
    </row>
    <row r="38" spans="1:10" x14ac:dyDescent="0.2">
      <c r="A38" s="491" t="s">
        <v>877</v>
      </c>
      <c r="D38" s="3">
        <f>SUM(D36:D37)</f>
        <v>3712.5</v>
      </c>
      <c r="E38" s="3"/>
      <c r="F38" s="3"/>
      <c r="G38" s="3"/>
      <c r="H38" s="3"/>
      <c r="I38" s="3"/>
      <c r="J38" s="3"/>
    </row>
    <row r="39" spans="1:10" x14ac:dyDescent="0.2">
      <c r="D39" s="3"/>
      <c r="E39" s="3"/>
      <c r="F39" s="3"/>
      <c r="G39" s="3"/>
      <c r="H39" s="3"/>
      <c r="I39" s="3"/>
      <c r="J39" s="3"/>
    </row>
    <row r="40" spans="1:10" ht="13.5" x14ac:dyDescent="0.25">
      <c r="A40" s="494" t="s">
        <v>1383</v>
      </c>
      <c r="D40" s="3"/>
      <c r="E40" s="3">
        <v>372</v>
      </c>
      <c r="F40" s="3">
        <v>405</v>
      </c>
      <c r="G40" s="3">
        <v>435</v>
      </c>
      <c r="H40" s="3">
        <v>435</v>
      </c>
      <c r="I40" s="3">
        <v>435</v>
      </c>
      <c r="J40" s="3"/>
    </row>
    <row r="41" spans="1:10" x14ac:dyDescent="0.2">
      <c r="A41" s="491" t="s">
        <v>1476</v>
      </c>
      <c r="B41" s="3">
        <v>3</v>
      </c>
      <c r="C41" s="3">
        <v>145</v>
      </c>
      <c r="D41" s="3">
        <f>ROUND(B41*C41,0)</f>
        <v>435</v>
      </c>
      <c r="E41" s="3"/>
      <c r="F41" s="3"/>
      <c r="G41" s="3"/>
      <c r="H41" s="3"/>
      <c r="I41" s="3"/>
      <c r="J41" s="3"/>
    </row>
    <row r="42" spans="1:10" x14ac:dyDescent="0.2">
      <c r="D42" s="3"/>
      <c r="E42" s="3"/>
      <c r="F42" s="3"/>
      <c r="G42" s="3"/>
      <c r="H42" s="3"/>
      <c r="I42" s="3"/>
      <c r="J42" s="3"/>
    </row>
    <row r="43" spans="1:10" ht="13.5" x14ac:dyDescent="0.25">
      <c r="A43" s="494" t="s">
        <v>1384</v>
      </c>
      <c r="D43" s="3"/>
      <c r="E43" s="3">
        <v>1676</v>
      </c>
      <c r="F43" s="3">
        <v>1575</v>
      </c>
      <c r="G43" s="3">
        <v>1695</v>
      </c>
      <c r="H43" s="3">
        <v>1695</v>
      </c>
      <c r="I43" s="3">
        <v>1695</v>
      </c>
      <c r="J43" s="3"/>
    </row>
    <row r="44" spans="1:10" x14ac:dyDescent="0.2">
      <c r="A44" s="491" t="s">
        <v>902</v>
      </c>
      <c r="B44" s="3">
        <v>3</v>
      </c>
      <c r="C44" s="3">
        <v>565</v>
      </c>
      <c r="D44" s="3">
        <f>ROUND(B44*C44,0)</f>
        <v>1695</v>
      </c>
      <c r="E44" s="3"/>
      <c r="F44" s="3"/>
      <c r="G44" s="3"/>
      <c r="H44" s="3"/>
      <c r="I44" s="3"/>
      <c r="J44" s="3"/>
    </row>
    <row r="45" spans="1:10" x14ac:dyDescent="0.2">
      <c r="D45" s="3"/>
      <c r="E45" s="3"/>
      <c r="F45" s="3"/>
      <c r="G45" s="3"/>
      <c r="H45" s="3"/>
      <c r="I45" s="3"/>
      <c r="J45" s="3"/>
    </row>
    <row r="46" spans="1:10" ht="13.5" x14ac:dyDescent="0.25">
      <c r="A46" s="494" t="s">
        <v>1385</v>
      </c>
      <c r="D46" s="3"/>
      <c r="E46" s="3">
        <v>1987</v>
      </c>
      <c r="F46" s="3">
        <v>2560</v>
      </c>
      <c r="G46" s="3">
        <v>2551</v>
      </c>
      <c r="H46" s="3">
        <v>2551</v>
      </c>
      <c r="I46" s="3">
        <v>2641</v>
      </c>
      <c r="J46" s="3"/>
    </row>
    <row r="47" spans="1:10" x14ac:dyDescent="0.2">
      <c r="A47" s="16" t="s">
        <v>1536</v>
      </c>
      <c r="B47" s="3">
        <f>+D9</f>
        <v>71604</v>
      </c>
      <c r="C47" s="17">
        <v>3.3739999999999999E-2</v>
      </c>
      <c r="D47" s="3">
        <f>ROUND(B47*C47,0)</f>
        <v>2416</v>
      </c>
      <c r="E47" s="3"/>
      <c r="F47" s="3"/>
      <c r="G47" s="3"/>
      <c r="H47" s="3"/>
      <c r="I47" s="3"/>
      <c r="J47" s="3"/>
    </row>
    <row r="48" spans="1:10" ht="15" x14ac:dyDescent="0.35">
      <c r="A48" s="16" t="s">
        <v>883</v>
      </c>
      <c r="B48" s="3">
        <f>+D14</f>
        <v>118028</v>
      </c>
      <c r="C48" s="17">
        <v>1.89E-3</v>
      </c>
      <c r="D48" s="3">
        <f>ROUND(B48*C48,0)</f>
        <v>223</v>
      </c>
      <c r="E48" s="14"/>
      <c r="F48" s="14"/>
      <c r="G48" s="14"/>
      <c r="H48" s="14"/>
      <c r="I48" s="14"/>
      <c r="J48" s="14"/>
    </row>
    <row r="49" spans="1:10" ht="15" x14ac:dyDescent="0.35">
      <c r="A49" s="16" t="s">
        <v>197</v>
      </c>
      <c r="B49" s="3">
        <f>+B29</f>
        <v>1139.6125000000002</v>
      </c>
      <c r="C49" s="17">
        <v>1.89E-3</v>
      </c>
      <c r="D49" s="14">
        <f>ROUND(B49*C49,0)</f>
        <v>2</v>
      </c>
      <c r="E49" s="14"/>
      <c r="F49" s="14"/>
      <c r="G49" s="14"/>
      <c r="H49" s="14"/>
      <c r="I49" s="14"/>
      <c r="J49" s="14"/>
    </row>
    <row r="50" spans="1:10" x14ac:dyDescent="0.2">
      <c r="A50" s="491" t="s">
        <v>1320</v>
      </c>
      <c r="D50" s="3">
        <f>SUM(D47:D49)</f>
        <v>2641</v>
      </c>
      <c r="E50" s="3"/>
      <c r="F50" s="3"/>
      <c r="G50" s="3"/>
      <c r="H50" s="3"/>
      <c r="I50" s="3"/>
      <c r="J50" s="3"/>
    </row>
    <row r="51" spans="1:10" x14ac:dyDescent="0.2">
      <c r="D51" s="3"/>
      <c r="E51" s="3"/>
      <c r="F51" s="3"/>
      <c r="G51" s="3"/>
      <c r="H51" s="3"/>
      <c r="I51" s="3"/>
      <c r="J51" s="3"/>
    </row>
    <row r="52" spans="1:10" ht="13.5" x14ac:dyDescent="0.25">
      <c r="A52" s="494" t="s">
        <v>17</v>
      </c>
      <c r="D52" s="3"/>
      <c r="E52" s="3">
        <v>31</v>
      </c>
      <c r="F52" s="3">
        <v>60</v>
      </c>
      <c r="G52" s="3">
        <v>60</v>
      </c>
      <c r="H52" s="3">
        <v>60</v>
      </c>
      <c r="I52" s="3">
        <v>60</v>
      </c>
      <c r="J52" s="3"/>
    </row>
    <row r="53" spans="1:10" x14ac:dyDescent="0.2">
      <c r="A53" s="16" t="s">
        <v>1536</v>
      </c>
      <c r="B53" s="3">
        <v>1</v>
      </c>
      <c r="C53" s="3">
        <v>20</v>
      </c>
      <c r="D53" s="3">
        <f>ROUND(B53*C53,0)</f>
        <v>20</v>
      </c>
      <c r="E53" s="3"/>
      <c r="F53" s="3"/>
      <c r="G53" s="3"/>
      <c r="H53" s="3"/>
      <c r="I53" s="3"/>
      <c r="J53" s="3"/>
    </row>
    <row r="54" spans="1:10" ht="15" x14ac:dyDescent="0.35">
      <c r="A54" s="16" t="s">
        <v>883</v>
      </c>
      <c r="B54" s="3">
        <v>2</v>
      </c>
      <c r="C54" s="3">
        <v>20</v>
      </c>
      <c r="D54" s="14">
        <f>ROUND(B54*C54,0)</f>
        <v>40</v>
      </c>
      <c r="E54" s="14"/>
      <c r="F54" s="14"/>
      <c r="G54" s="14"/>
      <c r="H54" s="14"/>
      <c r="I54" s="14"/>
      <c r="J54" s="14"/>
    </row>
    <row r="55" spans="1:10" x14ac:dyDescent="0.2">
      <c r="A55" s="491" t="s">
        <v>1320</v>
      </c>
      <c r="D55" s="3">
        <f>SUM(D53:D54)</f>
        <v>60</v>
      </c>
      <c r="E55" s="3"/>
      <c r="F55" s="3"/>
      <c r="G55" s="3"/>
      <c r="H55" s="3"/>
      <c r="I55" s="3"/>
      <c r="J55" s="3"/>
    </row>
    <row r="56" spans="1:10" x14ac:dyDescent="0.2">
      <c r="D56" s="3"/>
      <c r="E56" s="3"/>
      <c r="F56" s="3"/>
      <c r="G56" s="3"/>
      <c r="H56" s="3"/>
      <c r="I56" s="3"/>
      <c r="J56" s="3"/>
    </row>
    <row r="57" spans="1:10" ht="13.5" x14ac:dyDescent="0.25">
      <c r="A57" s="494" t="s">
        <v>1289</v>
      </c>
      <c r="D57" s="3"/>
      <c r="E57" s="3">
        <v>1923</v>
      </c>
      <c r="F57" s="3">
        <v>2000</v>
      </c>
      <c r="G57" s="3">
        <v>2200</v>
      </c>
      <c r="H57" s="3">
        <v>2200</v>
      </c>
      <c r="I57" s="3">
        <v>2200</v>
      </c>
      <c r="J57" s="3"/>
    </row>
    <row r="58" spans="1:10" x14ac:dyDescent="0.2">
      <c r="A58" s="491" t="s">
        <v>1290</v>
      </c>
      <c r="C58" s="3"/>
      <c r="D58" s="3">
        <v>2200</v>
      </c>
      <c r="E58" s="3"/>
      <c r="F58" s="3"/>
      <c r="G58" s="3"/>
      <c r="H58" s="3"/>
      <c r="I58" s="3"/>
      <c r="J58" s="3"/>
    </row>
    <row r="59" spans="1:10" x14ac:dyDescent="0.2">
      <c r="C59" s="3"/>
      <c r="D59" s="3"/>
      <c r="E59" s="3"/>
      <c r="F59" s="3"/>
      <c r="G59" s="3"/>
      <c r="H59" s="3"/>
      <c r="I59" s="3"/>
      <c r="J59" s="3"/>
    </row>
    <row r="60" spans="1:10" ht="13.5" x14ac:dyDescent="0.25">
      <c r="A60" s="494" t="s">
        <v>18</v>
      </c>
      <c r="C60" s="11"/>
      <c r="D60" s="11" t="s">
        <v>418</v>
      </c>
      <c r="E60" s="3">
        <v>88</v>
      </c>
      <c r="F60" s="3">
        <v>1000</v>
      </c>
      <c r="G60" s="3">
        <v>1000</v>
      </c>
      <c r="H60" s="3">
        <v>1000</v>
      </c>
      <c r="I60" s="3">
        <v>1000</v>
      </c>
      <c r="J60" s="3"/>
    </row>
    <row r="61" spans="1:10" x14ac:dyDescent="0.2">
      <c r="A61" s="9" t="s">
        <v>1502</v>
      </c>
      <c r="B61" s="9"/>
      <c r="C61" s="3"/>
      <c r="D61" s="3">
        <v>1000</v>
      </c>
      <c r="E61" s="3"/>
      <c r="F61" s="3"/>
      <c r="G61" s="3"/>
      <c r="H61" s="3"/>
      <c r="I61" s="3"/>
      <c r="J61" s="3"/>
    </row>
    <row r="62" spans="1:10" ht="15" x14ac:dyDescent="0.35">
      <c r="C62" s="3"/>
      <c r="D62" s="3"/>
      <c r="E62" s="3"/>
      <c r="F62" s="14"/>
      <c r="G62" s="14"/>
      <c r="H62" s="14"/>
      <c r="I62" s="14"/>
      <c r="J62" s="14"/>
    </row>
    <row r="63" spans="1:10" ht="13.5" x14ac:dyDescent="0.25">
      <c r="A63" s="494" t="s">
        <v>19</v>
      </c>
      <c r="C63" s="3"/>
      <c r="D63" s="3">
        <v>450</v>
      </c>
      <c r="E63" s="3">
        <v>294</v>
      </c>
      <c r="F63" s="3">
        <v>450</v>
      </c>
      <c r="G63" s="3">
        <v>450</v>
      </c>
      <c r="H63" s="3">
        <v>450</v>
      </c>
      <c r="I63" s="3">
        <v>450</v>
      </c>
      <c r="J63" s="3"/>
    </row>
    <row r="64" spans="1:10" x14ac:dyDescent="0.2">
      <c r="A64" s="491" t="s">
        <v>1216</v>
      </c>
      <c r="C64" s="3"/>
      <c r="D64" s="3"/>
      <c r="E64" s="3"/>
      <c r="F64" s="3"/>
      <c r="G64" s="3"/>
      <c r="H64" s="3"/>
      <c r="I64" s="3"/>
      <c r="J64" s="3"/>
    </row>
    <row r="65" spans="1:10" x14ac:dyDescent="0.2">
      <c r="C65" s="3"/>
      <c r="D65" s="3"/>
      <c r="E65" s="3"/>
      <c r="F65" s="3"/>
      <c r="G65" s="3"/>
      <c r="H65" s="3"/>
      <c r="I65" s="3"/>
      <c r="J65" s="3"/>
    </row>
    <row r="66" spans="1:10" ht="13.5" x14ac:dyDescent="0.25">
      <c r="A66" s="494" t="s">
        <v>1562</v>
      </c>
      <c r="C66" s="3"/>
      <c r="D66" s="3"/>
      <c r="E66" s="3">
        <v>566</v>
      </c>
      <c r="F66" s="3">
        <v>700</v>
      </c>
      <c r="G66" s="3">
        <v>700</v>
      </c>
      <c r="H66" s="3">
        <v>700</v>
      </c>
      <c r="I66" s="3">
        <v>700</v>
      </c>
      <c r="J66" s="3"/>
    </row>
    <row r="67" spans="1:10" x14ac:dyDescent="0.2">
      <c r="A67" s="491" t="s">
        <v>2109</v>
      </c>
      <c r="B67" s="3"/>
      <c r="C67" s="3"/>
      <c r="D67" s="3">
        <v>700</v>
      </c>
      <c r="E67" s="3"/>
      <c r="F67" s="3"/>
      <c r="G67" s="3"/>
      <c r="H67" s="3"/>
      <c r="I67" s="3"/>
      <c r="J67" s="3"/>
    </row>
    <row r="68" spans="1:10" x14ac:dyDescent="0.2">
      <c r="B68" s="3"/>
      <c r="C68" s="3"/>
      <c r="D68" s="3"/>
      <c r="E68" s="3"/>
      <c r="F68" s="3"/>
      <c r="G68" s="3"/>
      <c r="H68" s="3"/>
      <c r="I68" s="3"/>
      <c r="J68" s="3"/>
    </row>
    <row r="69" spans="1:10" ht="13.5" x14ac:dyDescent="0.25">
      <c r="A69" s="494" t="s">
        <v>812</v>
      </c>
      <c r="B69" s="3"/>
      <c r="C69" s="3"/>
      <c r="D69" s="3"/>
      <c r="E69" s="3">
        <v>658</v>
      </c>
      <c r="F69" s="3">
        <v>314</v>
      </c>
      <c r="G69" s="3">
        <v>525</v>
      </c>
      <c r="H69" s="3">
        <v>525</v>
      </c>
      <c r="I69" s="3">
        <v>525</v>
      </c>
      <c r="J69" s="3"/>
    </row>
    <row r="70" spans="1:10" x14ac:dyDescent="0.2">
      <c r="A70" s="491" t="s">
        <v>813</v>
      </c>
      <c r="B70" s="3">
        <v>150</v>
      </c>
      <c r="C70" s="15">
        <v>3.5</v>
      </c>
      <c r="D70" s="3">
        <f>+B70*C70</f>
        <v>525</v>
      </c>
      <c r="I70" s="557"/>
      <c r="J70" s="557"/>
    </row>
    <row r="71" spans="1:10" x14ac:dyDescent="0.2">
      <c r="C71" s="3"/>
      <c r="D71" s="3"/>
      <c r="E71" s="3"/>
      <c r="F71" s="3"/>
      <c r="G71" s="3"/>
      <c r="H71" s="3"/>
      <c r="I71" s="3"/>
      <c r="J71" s="3"/>
    </row>
    <row r="72" spans="1:10" ht="13.5" x14ac:dyDescent="0.25">
      <c r="A72" s="494" t="s">
        <v>814</v>
      </c>
      <c r="C72" s="3"/>
      <c r="D72" s="3"/>
      <c r="E72" s="3">
        <v>1329</v>
      </c>
      <c r="F72" s="3">
        <v>1100</v>
      </c>
      <c r="G72" s="3">
        <v>1200</v>
      </c>
      <c r="H72" s="3">
        <v>1200</v>
      </c>
      <c r="I72" s="3">
        <v>1200</v>
      </c>
      <c r="J72" s="3"/>
    </row>
    <row r="73" spans="1:10" ht="15" x14ac:dyDescent="0.35">
      <c r="A73" s="491" t="s">
        <v>1026</v>
      </c>
      <c r="C73" s="14"/>
      <c r="D73" s="3">
        <v>1200</v>
      </c>
      <c r="E73" s="14"/>
      <c r="F73" s="14"/>
      <c r="G73" s="14"/>
      <c r="H73" s="14"/>
      <c r="I73" s="14"/>
      <c r="J73" s="14"/>
    </row>
    <row r="74" spans="1:10" x14ac:dyDescent="0.2">
      <c r="C74" s="3"/>
      <c r="D74" s="3"/>
      <c r="E74" s="3"/>
      <c r="F74" s="3"/>
      <c r="G74" s="3"/>
      <c r="H74" s="3"/>
      <c r="I74" s="3"/>
      <c r="J74" s="3"/>
    </row>
    <row r="75" spans="1:10" ht="13.5" x14ac:dyDescent="0.25">
      <c r="A75" s="494" t="s">
        <v>1051</v>
      </c>
      <c r="C75" s="11"/>
      <c r="D75" s="11" t="s">
        <v>418</v>
      </c>
      <c r="E75" s="3">
        <v>285</v>
      </c>
      <c r="F75" s="3">
        <v>60</v>
      </c>
      <c r="G75" s="3">
        <v>285</v>
      </c>
      <c r="H75" s="3">
        <v>285</v>
      </c>
      <c r="I75" s="3">
        <v>285</v>
      </c>
      <c r="J75" s="3"/>
    </row>
    <row r="76" spans="1:10" x14ac:dyDescent="0.2">
      <c r="A76" s="27" t="s">
        <v>2523</v>
      </c>
      <c r="C76" s="11"/>
      <c r="D76" s="11">
        <v>225</v>
      </c>
      <c r="E76" s="3"/>
      <c r="F76" s="3"/>
      <c r="G76" s="3"/>
      <c r="H76" s="3"/>
      <c r="I76" s="3"/>
      <c r="J76" s="3"/>
    </row>
    <row r="77" spans="1:10" ht="15" x14ac:dyDescent="0.35">
      <c r="A77" s="491" t="s">
        <v>1282</v>
      </c>
      <c r="B77" s="3"/>
      <c r="C77" s="3"/>
      <c r="D77" s="14">
        <v>60</v>
      </c>
      <c r="E77" s="3"/>
      <c r="F77" s="3"/>
      <c r="G77" s="3"/>
      <c r="H77" s="3"/>
      <c r="I77" s="3"/>
      <c r="J77" s="3"/>
    </row>
    <row r="78" spans="1:10" ht="15" x14ac:dyDescent="0.35">
      <c r="C78" s="14"/>
      <c r="E78" s="14"/>
      <c r="F78" s="14"/>
      <c r="G78" s="14"/>
      <c r="H78" s="14"/>
      <c r="I78" s="14"/>
      <c r="J78" s="14"/>
    </row>
    <row r="79" spans="1:10" x14ac:dyDescent="0.2">
      <c r="A79" s="491" t="s">
        <v>1320</v>
      </c>
      <c r="C79" s="3"/>
      <c r="D79" s="3">
        <f>SUM(D76:D77)</f>
        <v>285</v>
      </c>
      <c r="E79" s="3"/>
      <c r="F79" s="3"/>
      <c r="G79" s="3"/>
      <c r="H79" s="3"/>
      <c r="I79" s="3"/>
      <c r="J79" s="3"/>
    </row>
    <row r="80" spans="1:10" x14ac:dyDescent="0.2">
      <c r="C80" s="3"/>
      <c r="D80" s="3"/>
      <c r="E80" s="3"/>
      <c r="F80" s="3"/>
      <c r="G80" s="3"/>
      <c r="H80" s="3"/>
      <c r="I80" s="3"/>
      <c r="J80" s="3"/>
    </row>
    <row r="81" spans="1:10" ht="13.5" x14ac:dyDescent="0.25">
      <c r="A81" s="20" t="s">
        <v>1052</v>
      </c>
      <c r="C81" s="3"/>
      <c r="D81" s="3"/>
      <c r="E81" s="3">
        <v>1877</v>
      </c>
      <c r="F81" s="3">
        <v>2292</v>
      </c>
      <c r="G81" s="3">
        <v>2407</v>
      </c>
      <c r="H81" s="3">
        <v>2407</v>
      </c>
      <c r="I81" s="3">
        <v>2407</v>
      </c>
      <c r="J81" s="3"/>
    </row>
    <row r="82" spans="1:10" x14ac:dyDescent="0.2">
      <c r="A82" s="491" t="s">
        <v>815</v>
      </c>
      <c r="C82" s="3"/>
      <c r="D82" s="3">
        <v>2407</v>
      </c>
      <c r="E82" s="3"/>
      <c r="F82" s="3"/>
      <c r="G82" s="3"/>
      <c r="H82" s="3"/>
      <c r="I82" s="3"/>
      <c r="J82" s="3"/>
    </row>
    <row r="83" spans="1:10" x14ac:dyDescent="0.2">
      <c r="C83" s="3"/>
      <c r="D83" s="3"/>
      <c r="E83" s="3"/>
      <c r="F83" s="3"/>
      <c r="G83" s="3"/>
      <c r="H83" s="3"/>
      <c r="I83" s="3"/>
      <c r="J83" s="3"/>
    </row>
    <row r="84" spans="1:10" ht="13.5" x14ac:dyDescent="0.25">
      <c r="A84" s="494" t="s">
        <v>621</v>
      </c>
      <c r="C84" s="3"/>
      <c r="D84" s="3"/>
      <c r="E84" s="3">
        <v>0</v>
      </c>
      <c r="F84" s="3">
        <v>150</v>
      </c>
      <c r="G84" s="3">
        <v>150</v>
      </c>
      <c r="H84" s="3">
        <v>150</v>
      </c>
      <c r="I84" s="3">
        <v>150</v>
      </c>
      <c r="J84" s="3"/>
    </row>
    <row r="85" spans="1:10" x14ac:dyDescent="0.2">
      <c r="A85" s="491" t="s">
        <v>1660</v>
      </c>
      <c r="C85" s="3"/>
      <c r="D85" s="3" t="s">
        <v>418</v>
      </c>
      <c r="E85" s="3"/>
      <c r="F85" s="3"/>
      <c r="G85" s="3"/>
      <c r="H85" s="3"/>
      <c r="I85" s="3"/>
      <c r="J85" s="3"/>
    </row>
    <row r="86" spans="1:10" x14ac:dyDescent="0.2">
      <c r="A86" s="491" t="s">
        <v>1499</v>
      </c>
      <c r="C86" s="3"/>
      <c r="D86" s="3">
        <v>150</v>
      </c>
      <c r="E86" s="3"/>
      <c r="F86" s="3"/>
      <c r="G86" s="3"/>
      <c r="H86" s="3"/>
      <c r="I86" s="3"/>
      <c r="J86" s="3"/>
    </row>
    <row r="87" spans="1:10" x14ac:dyDescent="0.2">
      <c r="C87" s="3"/>
      <c r="D87" s="3"/>
      <c r="E87" s="3"/>
      <c r="F87" s="3"/>
      <c r="G87" s="3"/>
      <c r="H87" s="3"/>
      <c r="I87" s="3"/>
      <c r="J87" s="3"/>
    </row>
    <row r="88" spans="1:10" ht="13.5" x14ac:dyDescent="0.25">
      <c r="A88" s="494" t="s">
        <v>1532</v>
      </c>
      <c r="C88" s="3"/>
      <c r="D88" s="3"/>
      <c r="E88" s="3">
        <v>280</v>
      </c>
      <c r="F88" s="3">
        <v>250</v>
      </c>
      <c r="G88" s="3">
        <v>300</v>
      </c>
      <c r="H88" s="3">
        <v>300</v>
      </c>
      <c r="I88" s="3">
        <v>300</v>
      </c>
      <c r="J88" s="3"/>
    </row>
    <row r="89" spans="1:10" x14ac:dyDescent="0.2">
      <c r="A89" s="491" t="s">
        <v>825</v>
      </c>
      <c r="C89" s="3"/>
      <c r="D89" s="3">
        <v>300</v>
      </c>
      <c r="E89" s="3"/>
      <c r="F89" s="3"/>
      <c r="G89" s="3"/>
      <c r="H89" s="3"/>
      <c r="I89" s="3"/>
      <c r="J89" s="3"/>
    </row>
    <row r="90" spans="1:10" x14ac:dyDescent="0.2">
      <c r="C90" s="3"/>
      <c r="D90" s="3"/>
      <c r="E90" s="3"/>
      <c r="F90" s="3"/>
      <c r="G90" s="3"/>
      <c r="H90" s="3"/>
      <c r="I90" s="3"/>
      <c r="J90" s="3"/>
    </row>
    <row r="91" spans="1:10" ht="15" x14ac:dyDescent="0.35">
      <c r="A91" s="494" t="s">
        <v>931</v>
      </c>
      <c r="B91" s="492" t="s">
        <v>2163</v>
      </c>
      <c r="C91" s="492" t="s">
        <v>2290</v>
      </c>
      <c r="D91" s="492" t="s">
        <v>2507</v>
      </c>
      <c r="E91" s="3">
        <v>11515</v>
      </c>
      <c r="F91" s="3">
        <v>12210</v>
      </c>
      <c r="G91" s="3">
        <v>12459</v>
      </c>
      <c r="H91" s="3">
        <v>12459</v>
      </c>
      <c r="I91" s="3">
        <v>12459</v>
      </c>
      <c r="J91" s="3"/>
    </row>
    <row r="92" spans="1:10" x14ac:dyDescent="0.2">
      <c r="A92" s="491" t="s">
        <v>1217</v>
      </c>
      <c r="B92" s="3">
        <v>300</v>
      </c>
      <c r="C92" s="3">
        <v>300</v>
      </c>
      <c r="D92" s="3">
        <v>300</v>
      </c>
      <c r="E92" s="3"/>
      <c r="F92" s="3"/>
      <c r="G92" s="3"/>
      <c r="H92" s="3"/>
      <c r="I92" s="3"/>
      <c r="J92" s="3"/>
    </row>
    <row r="93" spans="1:10" x14ac:dyDescent="0.2">
      <c r="A93" s="491" t="s">
        <v>932</v>
      </c>
      <c r="B93" s="3">
        <v>110</v>
      </c>
      <c r="C93" s="3">
        <v>110</v>
      </c>
      <c r="D93" s="3">
        <v>110</v>
      </c>
      <c r="E93" s="3"/>
      <c r="F93" s="3"/>
      <c r="G93" s="3"/>
      <c r="H93" s="3"/>
      <c r="I93" s="3"/>
      <c r="J93" s="3"/>
    </row>
    <row r="94" spans="1:10" x14ac:dyDescent="0.2">
      <c r="A94" s="491" t="s">
        <v>1283</v>
      </c>
      <c r="B94" s="3">
        <v>11450</v>
      </c>
      <c r="C94" s="3">
        <v>11800</v>
      </c>
      <c r="D94" s="3">
        <v>12049</v>
      </c>
      <c r="E94" s="3"/>
      <c r="F94" s="3"/>
      <c r="G94" s="3"/>
      <c r="H94" s="3"/>
      <c r="I94" s="3"/>
      <c r="J94" s="3"/>
    </row>
    <row r="95" spans="1:10" ht="15" x14ac:dyDescent="0.35">
      <c r="A95" s="491" t="s">
        <v>933</v>
      </c>
      <c r="B95" s="14">
        <v>0</v>
      </c>
      <c r="C95" s="14">
        <v>0</v>
      </c>
      <c r="D95" s="14">
        <v>0</v>
      </c>
      <c r="E95" s="3"/>
      <c r="F95" s="14"/>
      <c r="G95" s="14"/>
      <c r="H95" s="14"/>
      <c r="I95" s="14"/>
      <c r="J95" s="14"/>
    </row>
    <row r="96" spans="1:10" x14ac:dyDescent="0.2">
      <c r="A96" s="491" t="s">
        <v>1320</v>
      </c>
      <c r="B96" s="3">
        <f>SUM(B92:B95)</f>
        <v>11860</v>
      </c>
      <c r="C96" s="3">
        <f>SUM(C92:C95)</f>
        <v>12210</v>
      </c>
      <c r="D96" s="3">
        <f>SUM(D92:D95)</f>
        <v>12459</v>
      </c>
      <c r="E96" s="3"/>
      <c r="F96" s="3"/>
      <c r="G96" s="3"/>
      <c r="H96" s="3"/>
      <c r="I96" s="3"/>
      <c r="J96" s="3"/>
    </row>
    <row r="97" spans="1:10" x14ac:dyDescent="0.2">
      <c r="B97" s="3"/>
      <c r="C97" s="3"/>
      <c r="D97" s="3"/>
      <c r="E97" s="3"/>
      <c r="I97" s="557"/>
      <c r="J97" s="557"/>
    </row>
    <row r="98" spans="1:10" ht="15" x14ac:dyDescent="0.35">
      <c r="A98" s="494" t="s">
        <v>934</v>
      </c>
      <c r="B98" s="492" t="s">
        <v>2163</v>
      </c>
      <c r="C98" s="492" t="s">
        <v>2290</v>
      </c>
      <c r="D98" s="492" t="s">
        <v>2507</v>
      </c>
      <c r="E98" s="3">
        <v>0</v>
      </c>
      <c r="F98" s="3">
        <v>1150</v>
      </c>
      <c r="G98" s="3">
        <v>1150</v>
      </c>
      <c r="H98" s="3">
        <v>1150</v>
      </c>
      <c r="I98" s="3">
        <v>1150</v>
      </c>
      <c r="J98" s="3"/>
    </row>
    <row r="99" spans="1:10" x14ac:dyDescent="0.2">
      <c r="B99" s="3"/>
      <c r="C99" s="3"/>
      <c r="D99" s="3"/>
      <c r="I99" s="557"/>
      <c r="J99" s="557"/>
    </row>
    <row r="100" spans="1:10" x14ac:dyDescent="0.2">
      <c r="A100" s="491" t="s">
        <v>1657</v>
      </c>
      <c r="B100" s="3">
        <v>0</v>
      </c>
      <c r="C100" s="3">
        <v>0</v>
      </c>
      <c r="D100" s="3">
        <v>0</v>
      </c>
      <c r="I100" s="557"/>
      <c r="J100" s="557"/>
    </row>
    <row r="101" spans="1:10" x14ac:dyDescent="0.2">
      <c r="A101" s="491" t="s">
        <v>1598</v>
      </c>
      <c r="B101" s="3">
        <v>200</v>
      </c>
      <c r="C101" s="3">
        <v>200</v>
      </c>
      <c r="D101" s="3">
        <v>200</v>
      </c>
      <c r="I101" s="557"/>
      <c r="J101" s="557"/>
    </row>
    <row r="102" spans="1:10" ht="15" x14ac:dyDescent="0.35">
      <c r="A102" s="491" t="s">
        <v>1267</v>
      </c>
      <c r="B102" s="14">
        <v>950</v>
      </c>
      <c r="C102" s="14">
        <v>950</v>
      </c>
      <c r="D102" s="14">
        <v>950</v>
      </c>
      <c r="I102" s="557"/>
      <c r="J102" s="557"/>
    </row>
    <row r="103" spans="1:10" x14ac:dyDescent="0.2">
      <c r="A103" s="491" t="s">
        <v>1320</v>
      </c>
      <c r="B103" s="3">
        <f>SUM(B99:B102)</f>
        <v>1150</v>
      </c>
      <c r="C103" s="3">
        <f>SUM(C99:C102)</f>
        <v>1150</v>
      </c>
      <c r="D103" s="3">
        <f>SUM(D99:D102)</f>
        <v>1150</v>
      </c>
      <c r="F103" s="3"/>
      <c r="G103" s="3"/>
      <c r="H103" s="3"/>
      <c r="I103" s="3"/>
      <c r="J103" s="3"/>
    </row>
    <row r="104" spans="1:10" x14ac:dyDescent="0.2">
      <c r="B104" s="3"/>
      <c r="C104" s="3"/>
      <c r="D104" s="3"/>
      <c r="E104" s="3"/>
      <c r="I104" s="557"/>
      <c r="J104" s="557"/>
    </row>
    <row r="105" spans="1:10" ht="15" x14ac:dyDescent="0.35">
      <c r="A105" s="494" t="s">
        <v>380</v>
      </c>
      <c r="B105" s="492" t="s">
        <v>2163</v>
      </c>
      <c r="C105" s="492" t="s">
        <v>2290</v>
      </c>
      <c r="D105" s="492" t="s">
        <v>2507</v>
      </c>
      <c r="E105" s="3">
        <v>59159</v>
      </c>
      <c r="F105" s="3">
        <v>40000</v>
      </c>
      <c r="G105" s="3">
        <v>44400</v>
      </c>
      <c r="H105" s="3">
        <v>44400</v>
      </c>
      <c r="I105" s="3">
        <v>44400</v>
      </c>
      <c r="J105" s="3"/>
    </row>
    <row r="106" spans="1:10" x14ac:dyDescent="0.2">
      <c r="A106" s="491" t="s">
        <v>381</v>
      </c>
      <c r="B106" s="3">
        <v>3000</v>
      </c>
      <c r="C106" s="3">
        <v>3000</v>
      </c>
      <c r="D106" s="3">
        <v>3000</v>
      </c>
      <c r="E106" s="4"/>
      <c r="F106" s="3"/>
      <c r="G106" s="3"/>
      <c r="H106" s="3"/>
      <c r="I106" s="3"/>
      <c r="J106" s="3"/>
    </row>
    <row r="107" spans="1:10" ht="15" x14ac:dyDescent="0.35">
      <c r="A107" s="491" t="s">
        <v>382</v>
      </c>
      <c r="B107" s="14">
        <v>37000</v>
      </c>
      <c r="C107" s="14">
        <v>37000</v>
      </c>
      <c r="D107" s="14">
        <v>41400</v>
      </c>
      <c r="E107" s="3"/>
      <c r="F107" s="3"/>
      <c r="G107" s="3"/>
      <c r="H107" s="3"/>
      <c r="I107" s="3"/>
      <c r="J107" s="3"/>
    </row>
    <row r="108" spans="1:10" x14ac:dyDescent="0.2">
      <c r="A108" s="491" t="s">
        <v>1320</v>
      </c>
      <c r="B108" s="3">
        <f>SUM(B106:B107)</f>
        <v>40000</v>
      </c>
      <c r="C108" s="3">
        <f>SUM(C106:C107)</f>
        <v>40000</v>
      </c>
      <c r="D108" s="3">
        <f>SUM(D106:D107)</f>
        <v>44400</v>
      </c>
      <c r="E108" s="3"/>
      <c r="F108" s="3"/>
      <c r="G108" s="3"/>
      <c r="H108" s="3"/>
      <c r="I108" s="3"/>
      <c r="J108" s="3"/>
    </row>
    <row r="109" spans="1:10" x14ac:dyDescent="0.2">
      <c r="C109" s="3"/>
      <c r="D109" s="3"/>
      <c r="E109" s="3"/>
      <c r="F109" s="3"/>
      <c r="G109" s="3"/>
      <c r="H109" s="3"/>
      <c r="I109" s="3"/>
      <c r="J109" s="3"/>
    </row>
    <row r="110" spans="1:10" ht="13.5" x14ac:dyDescent="0.25">
      <c r="A110" s="494" t="s">
        <v>1251</v>
      </c>
      <c r="C110" s="3"/>
      <c r="D110" s="3"/>
      <c r="E110" s="3"/>
      <c r="F110" s="3"/>
      <c r="G110" s="3"/>
      <c r="H110" s="3"/>
      <c r="I110" s="3"/>
      <c r="J110" s="3"/>
    </row>
    <row r="111" spans="1:10" x14ac:dyDescent="0.2">
      <c r="A111" s="491" t="s">
        <v>234</v>
      </c>
      <c r="C111" s="3"/>
      <c r="D111" s="3">
        <v>0</v>
      </c>
      <c r="E111" s="3"/>
      <c r="F111" s="3"/>
      <c r="G111" s="3"/>
      <c r="H111" s="3"/>
      <c r="I111" s="3"/>
      <c r="J111" s="3"/>
    </row>
    <row r="112" spans="1:10" x14ac:dyDescent="0.2">
      <c r="C112" s="3"/>
      <c r="D112" s="3"/>
      <c r="E112" s="3"/>
      <c r="F112" s="3"/>
      <c r="G112" s="3"/>
      <c r="H112" s="3"/>
      <c r="I112" s="3"/>
      <c r="J112" s="3"/>
    </row>
    <row r="113" spans="1:10" ht="13.5" x14ac:dyDescent="0.25">
      <c r="A113" s="494" t="s">
        <v>1252</v>
      </c>
      <c r="C113" s="3"/>
      <c r="D113" s="3"/>
      <c r="E113" s="3">
        <v>0</v>
      </c>
      <c r="F113" s="3">
        <v>3000</v>
      </c>
      <c r="G113" s="3">
        <v>3000</v>
      </c>
      <c r="H113" s="3">
        <v>3000</v>
      </c>
      <c r="I113" s="3">
        <v>3000</v>
      </c>
      <c r="J113" s="3"/>
    </row>
    <row r="114" spans="1:10" x14ac:dyDescent="0.2">
      <c r="A114" s="9" t="s">
        <v>2110</v>
      </c>
      <c r="C114" s="3"/>
      <c r="D114" s="3">
        <v>3000</v>
      </c>
      <c r="I114" s="557"/>
      <c r="J114" s="557"/>
    </row>
    <row r="115" spans="1:10" x14ac:dyDescent="0.2">
      <c r="A115" s="9"/>
      <c r="C115" s="3"/>
      <c r="D115" s="3"/>
      <c r="I115" s="557"/>
      <c r="J115" s="557"/>
    </row>
    <row r="116" spans="1:10" x14ac:dyDescent="0.2">
      <c r="A116" s="9"/>
      <c r="C116" s="3"/>
      <c r="D116" s="3"/>
      <c r="I116" s="557"/>
      <c r="J116" s="557"/>
    </row>
    <row r="117" spans="1:10" ht="13.5" x14ac:dyDescent="0.25">
      <c r="A117" s="55" t="s">
        <v>1284</v>
      </c>
      <c r="C117" s="3"/>
      <c r="D117" s="3"/>
      <c r="I117" s="557"/>
      <c r="J117" s="557"/>
    </row>
    <row r="118" spans="1:10" x14ac:dyDescent="0.2">
      <c r="A118" s="9" t="s">
        <v>104</v>
      </c>
      <c r="C118" s="3"/>
      <c r="D118" s="3">
        <v>17250</v>
      </c>
      <c r="E118" s="230">
        <v>15000</v>
      </c>
      <c r="F118" s="3">
        <v>17250</v>
      </c>
      <c r="G118" s="3">
        <v>17250</v>
      </c>
      <c r="H118" s="3">
        <v>17250</v>
      </c>
      <c r="I118" s="3">
        <v>17250</v>
      </c>
      <c r="J118" s="3"/>
    </row>
    <row r="119" spans="1:10" x14ac:dyDescent="0.2">
      <c r="D119" s="3"/>
      <c r="E119" s="3"/>
      <c r="F119" s="3"/>
      <c r="G119" s="3"/>
      <c r="H119" s="3"/>
      <c r="I119" s="3"/>
      <c r="J119" s="3"/>
    </row>
    <row r="120" spans="1:10" x14ac:dyDescent="0.2">
      <c r="A120" s="491" t="s">
        <v>1405</v>
      </c>
      <c r="D120" s="3"/>
      <c r="E120" s="3">
        <f>SUM(E6:E119)</f>
        <v>356619</v>
      </c>
      <c r="F120" s="3">
        <f>SUM(F6:F119)</f>
        <v>361169</v>
      </c>
      <c r="G120" s="3">
        <f>SUM(G6:G119)</f>
        <v>380048</v>
      </c>
      <c r="H120" s="3">
        <f>SUM(H6:H119)</f>
        <v>380048</v>
      </c>
      <c r="I120" s="3">
        <f>SUM(I6:I119)</f>
        <v>387908</v>
      </c>
      <c r="J120" s="3">
        <f>SUM(J6:J118)</f>
        <v>0</v>
      </c>
    </row>
    <row r="122" spans="1:10" x14ac:dyDescent="0.2">
      <c r="A122" s="491" t="s">
        <v>628</v>
      </c>
      <c r="E122" s="3">
        <f t="shared" ref="E122:J122" si="0">SUM(E6:E55)</f>
        <v>263645</v>
      </c>
      <c r="F122" s="3">
        <f>SUM(F6:F55)</f>
        <v>279243</v>
      </c>
      <c r="G122" s="3">
        <f t="shared" si="0"/>
        <v>292572</v>
      </c>
      <c r="H122" s="3">
        <f t="shared" ref="H122" si="1">SUM(H6:H55)</f>
        <v>292572</v>
      </c>
      <c r="I122" s="3">
        <f>SUM(I6:I55)</f>
        <v>300432</v>
      </c>
      <c r="J122" s="3">
        <f t="shared" si="0"/>
        <v>0</v>
      </c>
    </row>
    <row r="123" spans="1:10" x14ac:dyDescent="0.2">
      <c r="A123" s="491" t="s">
        <v>1024</v>
      </c>
      <c r="E123" s="3">
        <f t="shared" ref="E123:J123" si="2">SUM(E57:E112)</f>
        <v>77974</v>
      </c>
      <c r="F123" s="3">
        <f t="shared" si="2"/>
        <v>61676</v>
      </c>
      <c r="G123" s="3">
        <f t="shared" si="2"/>
        <v>67226</v>
      </c>
      <c r="H123" s="3">
        <f t="shared" ref="H123" si="3">SUM(H57:H112)</f>
        <v>67226</v>
      </c>
      <c r="I123" s="3">
        <f>SUM(I57:I112)</f>
        <v>67226</v>
      </c>
      <c r="J123" s="3">
        <f t="shared" si="2"/>
        <v>0</v>
      </c>
    </row>
    <row r="124" spans="1:10" ht="15" x14ac:dyDescent="0.35">
      <c r="A124" s="491" t="s">
        <v>1025</v>
      </c>
      <c r="E124" s="14">
        <f>SUM(E113:E119)</f>
        <v>15000</v>
      </c>
      <c r="F124" s="14">
        <f>SUM(F113:F119)</f>
        <v>20250</v>
      </c>
      <c r="G124" s="14">
        <f>SUM(G113:G119)</f>
        <v>20250</v>
      </c>
      <c r="H124" s="14">
        <f>SUM(H113:H119)</f>
        <v>20250</v>
      </c>
      <c r="I124" s="14">
        <f>SUM(I113:I119)</f>
        <v>20250</v>
      </c>
      <c r="J124" s="14">
        <f>SUM(J113:J118)</f>
        <v>0</v>
      </c>
    </row>
    <row r="125" spans="1:10" x14ac:dyDescent="0.2">
      <c r="A125" s="491" t="s">
        <v>1320</v>
      </c>
      <c r="E125" s="3">
        <f t="shared" ref="E125:J125" si="4">SUM(E122:E124)</f>
        <v>356619</v>
      </c>
      <c r="F125" s="3">
        <f t="shared" si="4"/>
        <v>361169</v>
      </c>
      <c r="G125" s="3">
        <f t="shared" si="4"/>
        <v>380048</v>
      </c>
      <c r="H125" s="3">
        <f t="shared" ref="H125" si="5">SUM(H122:H124)</f>
        <v>380048</v>
      </c>
      <c r="I125" s="3">
        <f>SUM(I122:I124)</f>
        <v>387908</v>
      </c>
      <c r="J125" s="3">
        <f t="shared" si="4"/>
        <v>0</v>
      </c>
    </row>
    <row r="127" spans="1:10" x14ac:dyDescent="0.2">
      <c r="J127" s="3">
        <v>7860</v>
      </c>
    </row>
    <row r="128" spans="1:10" x14ac:dyDescent="0.2">
      <c r="I128" s="3">
        <f>I125-H125</f>
        <v>7860</v>
      </c>
      <c r="J128" s="3">
        <f>J125-H125</f>
        <v>-380048</v>
      </c>
    </row>
    <row r="129" spans="10:10" x14ac:dyDescent="0.2">
      <c r="J129" s="3">
        <f>J127-J128</f>
        <v>387908</v>
      </c>
    </row>
    <row r="130" spans="10:10" x14ac:dyDescent="0.2">
      <c r="J130" s="3"/>
    </row>
  </sheetData>
  <mergeCells count="1">
    <mergeCell ref="A1:J1"/>
  </mergeCells>
  <phoneticPr fontId="0" type="noConversion"/>
  <printOptions gridLines="1"/>
  <pageMargins left="0.75" right="0.16" top="0.51" bottom="0.22" header="0.3" footer="0.3"/>
  <pageSetup scale="85" fitToHeight="2" orientation="landscape" r:id="rId1"/>
  <headerFooter alignWithMargins="0"/>
  <rowBreaks count="1" manualBreakCount="1">
    <brk id="109"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430"/>
  <sheetViews>
    <sheetView view="pageBreakPreview" topLeftCell="C1" zoomScaleNormal="100" zoomScaleSheetLayoutView="100" workbookViewId="0">
      <pane ySplit="5" topLeftCell="A359" activePane="bottomLeft" state="frozen"/>
      <selection activeCell="D43" sqref="D43"/>
      <selection pane="bottomLeft" activeCell="J6" sqref="J6:J371"/>
    </sheetView>
  </sheetViews>
  <sheetFormatPr defaultColWidth="44.5703125" defaultRowHeight="12.75" x14ac:dyDescent="0.2"/>
  <cols>
    <col min="1" max="1" width="56" style="3" customWidth="1"/>
    <col min="2" max="2" width="9.85546875" style="3" customWidth="1"/>
    <col min="3" max="3" width="10.42578125" style="3" bestFit="1" customWidth="1"/>
    <col min="4" max="4" width="10.85546875" style="3" customWidth="1"/>
    <col min="5" max="5" width="10.42578125" style="3" bestFit="1" customWidth="1"/>
    <col min="6" max="6" width="9.7109375" style="3" customWidth="1"/>
    <col min="7" max="7" width="10.28515625" style="3" customWidth="1"/>
    <col min="8" max="8" width="11.85546875" style="3" customWidth="1"/>
    <col min="9" max="9" width="10.85546875" style="3" bestFit="1" customWidth="1"/>
    <col min="10" max="10" width="10.42578125" style="3" bestFit="1" customWidth="1"/>
    <col min="11" max="16384" width="44.5703125" style="3"/>
  </cols>
  <sheetData>
    <row r="1" spans="1:11" x14ac:dyDescent="0.2">
      <c r="A1" s="562" t="str">
        <f>'SUMMARY BY FUND'!A1:J1</f>
        <v>2023-24 BUDGET</v>
      </c>
      <c r="B1" s="563"/>
      <c r="C1" s="563"/>
      <c r="D1" s="563"/>
      <c r="E1" s="563"/>
      <c r="F1" s="563"/>
      <c r="G1" s="563"/>
      <c r="H1" s="563"/>
      <c r="I1" s="563"/>
      <c r="J1" s="563"/>
    </row>
    <row r="2" spans="1:11" ht="18.75" x14ac:dyDescent="0.3">
      <c r="A2" s="204" t="s">
        <v>1873</v>
      </c>
      <c r="B2" s="204"/>
      <c r="C2" s="204"/>
      <c r="D2" s="204"/>
      <c r="E2" s="204"/>
      <c r="F2" s="204"/>
    </row>
    <row r="4" spans="1:11" x14ac:dyDescent="0.2">
      <c r="B4" s="7"/>
      <c r="C4" s="7"/>
      <c r="D4" s="7"/>
      <c r="E4" s="19" t="s">
        <v>250</v>
      </c>
      <c r="F4" s="19" t="s">
        <v>251</v>
      </c>
      <c r="G4" s="19" t="s">
        <v>68</v>
      </c>
      <c r="H4" s="19" t="s">
        <v>432</v>
      </c>
      <c r="I4" s="19" t="s">
        <v>338</v>
      </c>
      <c r="J4" s="19" t="s">
        <v>370</v>
      </c>
    </row>
    <row r="5" spans="1:11" ht="15" x14ac:dyDescent="0.35">
      <c r="E5" s="419" t="s">
        <v>2163</v>
      </c>
      <c r="F5" s="419" t="s">
        <v>2290</v>
      </c>
      <c r="G5" s="419" t="s">
        <v>2507</v>
      </c>
      <c r="H5" s="419" t="s">
        <v>2507</v>
      </c>
      <c r="I5" s="419" t="s">
        <v>2507</v>
      </c>
      <c r="J5" s="419" t="s">
        <v>2507</v>
      </c>
    </row>
    <row r="6" spans="1:11" ht="13.5" x14ac:dyDescent="0.25">
      <c r="A6" s="55" t="s">
        <v>1253</v>
      </c>
      <c r="E6" s="3">
        <v>48188</v>
      </c>
      <c r="F6" s="4">
        <v>48464</v>
      </c>
      <c r="G6" s="4">
        <v>48464</v>
      </c>
      <c r="H6" s="4">
        <v>48464</v>
      </c>
      <c r="I6" s="4">
        <v>50180</v>
      </c>
      <c r="J6" s="4"/>
      <c r="K6" s="3">
        <f>+H6-I6</f>
        <v>-1716</v>
      </c>
    </row>
    <row r="7" spans="1:11" ht="12" customHeight="1" x14ac:dyDescent="0.2">
      <c r="A7" s="3" t="s">
        <v>467</v>
      </c>
      <c r="B7" s="198">
        <v>52</v>
      </c>
      <c r="C7" s="3">
        <v>965</v>
      </c>
      <c r="D7" s="3">
        <f>+B7*C7</f>
        <v>50180</v>
      </c>
      <c r="F7" s="4"/>
      <c r="G7" s="4"/>
      <c r="H7" s="4"/>
      <c r="I7" s="4"/>
      <c r="J7" s="4"/>
      <c r="K7" s="3">
        <f t="shared" ref="K7:K31" si="0">+H7-I7</f>
        <v>0</v>
      </c>
    </row>
    <row r="8" spans="1:11" ht="15" x14ac:dyDescent="0.35">
      <c r="A8" s="3" t="s">
        <v>1039</v>
      </c>
      <c r="D8" s="14">
        <v>0</v>
      </c>
      <c r="F8" s="4"/>
      <c r="G8" s="4"/>
      <c r="H8" s="4"/>
      <c r="I8" s="4"/>
      <c r="J8" s="4"/>
      <c r="K8" s="3">
        <f t="shared" si="0"/>
        <v>0</v>
      </c>
    </row>
    <row r="9" spans="1:11" x14ac:dyDescent="0.2">
      <c r="A9" s="3" t="s">
        <v>1320</v>
      </c>
      <c r="D9" s="3">
        <f>SUM(D7:D8)</f>
        <v>50180</v>
      </c>
      <c r="F9" s="4"/>
      <c r="G9" s="4"/>
      <c r="H9" s="4"/>
      <c r="I9" s="4"/>
      <c r="J9" s="4"/>
      <c r="K9" s="3">
        <f t="shared" si="0"/>
        <v>0</v>
      </c>
    </row>
    <row r="10" spans="1:11" x14ac:dyDescent="0.2">
      <c r="F10" s="4"/>
      <c r="G10" s="4"/>
      <c r="H10" s="4"/>
      <c r="I10" s="4"/>
      <c r="J10" s="4"/>
      <c r="K10" s="3">
        <f t="shared" si="0"/>
        <v>0</v>
      </c>
    </row>
    <row r="11" spans="1:11" ht="13.5" x14ac:dyDescent="0.25">
      <c r="A11" s="55" t="s">
        <v>468</v>
      </c>
      <c r="E11" s="3">
        <v>1032918</v>
      </c>
      <c r="F11" s="4">
        <v>1116196</v>
      </c>
      <c r="G11" s="4">
        <v>1109893</v>
      </c>
      <c r="H11" s="4">
        <v>1109893</v>
      </c>
      <c r="I11" s="4">
        <v>1120725</v>
      </c>
      <c r="J11" s="4"/>
      <c r="K11" s="3">
        <f t="shared" si="0"/>
        <v>-10832</v>
      </c>
    </row>
    <row r="12" spans="1:11" x14ac:dyDescent="0.2">
      <c r="A12" s="3" t="s">
        <v>2265</v>
      </c>
      <c r="B12" s="3">
        <v>52</v>
      </c>
      <c r="C12" s="3">
        <v>2539</v>
      </c>
      <c r="D12" s="3">
        <f>+C12*B12</f>
        <v>132028</v>
      </c>
      <c r="F12" s="4"/>
      <c r="G12" s="4"/>
      <c r="H12" s="4"/>
      <c r="I12" s="4"/>
      <c r="J12" s="4"/>
      <c r="K12" s="3">
        <f t="shared" si="0"/>
        <v>0</v>
      </c>
    </row>
    <row r="13" spans="1:11" x14ac:dyDescent="0.2">
      <c r="A13" s="3" t="s">
        <v>469</v>
      </c>
      <c r="B13" s="3">
        <v>52</v>
      </c>
      <c r="C13" s="3">
        <v>2020</v>
      </c>
      <c r="D13" s="3">
        <f>109824+3553</f>
        <v>113377</v>
      </c>
      <c r="F13" s="4"/>
      <c r="G13" s="4"/>
      <c r="H13" s="4"/>
      <c r="I13" s="4"/>
      <c r="J13" s="4"/>
      <c r="K13" s="3">
        <f t="shared" si="0"/>
        <v>0</v>
      </c>
    </row>
    <row r="14" spans="1:11" x14ac:dyDescent="0.2">
      <c r="A14" s="3" t="s">
        <v>1673</v>
      </c>
      <c r="B14" s="3">
        <v>52</v>
      </c>
      <c r="C14" s="3">
        <v>2090</v>
      </c>
      <c r="D14" s="3">
        <f>102440+3675</f>
        <v>106115</v>
      </c>
      <c r="F14" s="4"/>
      <c r="G14" s="4"/>
      <c r="H14" s="4"/>
      <c r="I14" s="4"/>
      <c r="J14" s="4"/>
      <c r="K14" s="3">
        <f t="shared" si="0"/>
        <v>0</v>
      </c>
    </row>
    <row r="15" spans="1:11" x14ac:dyDescent="0.2">
      <c r="A15" s="3" t="s">
        <v>1306</v>
      </c>
      <c r="B15" s="3">
        <v>52</v>
      </c>
      <c r="C15" s="3">
        <f>37.81*40</f>
        <v>1512.4</v>
      </c>
      <c r="D15" s="3">
        <f t="shared" ref="D15:D22" si="1">+C15*B15</f>
        <v>78644.800000000003</v>
      </c>
      <c r="F15" s="4"/>
      <c r="G15" s="4"/>
      <c r="H15" s="4"/>
      <c r="I15" s="4"/>
      <c r="J15" s="4"/>
      <c r="K15" s="3">
        <f t="shared" si="0"/>
        <v>0</v>
      </c>
    </row>
    <row r="16" spans="1:11" x14ac:dyDescent="0.2">
      <c r="A16" s="3" t="s">
        <v>470</v>
      </c>
      <c r="B16" s="3">
        <v>52</v>
      </c>
      <c r="C16" s="3">
        <f>38.57*42</f>
        <v>1619.94</v>
      </c>
      <c r="D16" s="3">
        <f t="shared" si="1"/>
        <v>84236.88</v>
      </c>
      <c r="F16" s="63"/>
      <c r="G16" s="63"/>
      <c r="H16" s="63"/>
      <c r="I16" s="63"/>
      <c r="J16" s="63"/>
      <c r="K16" s="3">
        <f t="shared" si="0"/>
        <v>0</v>
      </c>
    </row>
    <row r="17" spans="1:11" x14ac:dyDescent="0.2">
      <c r="A17" s="3" t="s">
        <v>470</v>
      </c>
      <c r="B17" s="3">
        <v>52</v>
      </c>
      <c r="C17" s="230">
        <f>38.71*42</f>
        <v>1625.82</v>
      </c>
      <c r="D17" s="3">
        <f>+C17*B17</f>
        <v>84542.64</v>
      </c>
      <c r="F17" s="4"/>
      <c r="G17" s="4"/>
      <c r="H17" s="4"/>
      <c r="I17" s="4"/>
      <c r="J17" s="4"/>
      <c r="K17" s="3">
        <f t="shared" si="0"/>
        <v>0</v>
      </c>
    </row>
    <row r="18" spans="1:11" x14ac:dyDescent="0.2">
      <c r="A18" s="3" t="s">
        <v>470</v>
      </c>
      <c r="B18" s="3">
        <v>52</v>
      </c>
      <c r="C18" s="3">
        <f>38.73*42</f>
        <v>1626.6599999999999</v>
      </c>
      <c r="D18" s="3">
        <f>+C18*B18</f>
        <v>84586.319999999992</v>
      </c>
      <c r="F18" s="4"/>
      <c r="G18" s="4"/>
      <c r="H18" s="4"/>
      <c r="I18" s="4"/>
      <c r="J18" s="4"/>
      <c r="K18" s="3">
        <f t="shared" si="0"/>
        <v>0</v>
      </c>
    </row>
    <row r="19" spans="1:11" x14ac:dyDescent="0.2">
      <c r="A19" s="3" t="s">
        <v>470</v>
      </c>
      <c r="B19" s="3">
        <v>52</v>
      </c>
      <c r="C19" s="3">
        <f>38.39*42</f>
        <v>1612.38</v>
      </c>
      <c r="D19" s="3">
        <f t="shared" si="1"/>
        <v>83843.760000000009</v>
      </c>
      <c r="F19" s="4"/>
      <c r="G19" s="4"/>
      <c r="H19" s="4"/>
      <c r="I19" s="4"/>
      <c r="J19" s="4"/>
      <c r="K19" s="3">
        <f t="shared" si="0"/>
        <v>0</v>
      </c>
    </row>
    <row r="20" spans="1:11" x14ac:dyDescent="0.2">
      <c r="A20" s="3" t="s">
        <v>471</v>
      </c>
      <c r="B20" s="3">
        <v>52</v>
      </c>
      <c r="C20" s="3">
        <f>34.77*42</f>
        <v>1460.3400000000001</v>
      </c>
      <c r="D20" s="3">
        <f>+C20*B20</f>
        <v>75937.680000000008</v>
      </c>
      <c r="F20" s="63"/>
      <c r="G20" s="63"/>
      <c r="H20" s="63"/>
      <c r="I20" s="63"/>
      <c r="J20" s="63"/>
      <c r="K20" s="3">
        <f t="shared" si="0"/>
        <v>0</v>
      </c>
    </row>
    <row r="21" spans="1:11" x14ac:dyDescent="0.2">
      <c r="A21" s="3" t="s">
        <v>471</v>
      </c>
      <c r="B21" s="3">
        <v>52</v>
      </c>
      <c r="C21" s="3">
        <f>1443+27</f>
        <v>1470</v>
      </c>
      <c r="D21" s="3">
        <f t="shared" si="1"/>
        <v>76440</v>
      </c>
      <c r="F21" s="4"/>
      <c r="G21" s="4"/>
      <c r="H21" s="4"/>
      <c r="I21" s="4"/>
      <c r="J21" s="4"/>
      <c r="K21" s="3">
        <f t="shared" si="0"/>
        <v>0</v>
      </c>
    </row>
    <row r="22" spans="1:11" x14ac:dyDescent="0.2">
      <c r="A22" s="3" t="s">
        <v>471</v>
      </c>
      <c r="B22" s="3">
        <v>52</v>
      </c>
      <c r="C22" s="3">
        <f>36.05*42</f>
        <v>1514.1</v>
      </c>
      <c r="D22" s="3">
        <f t="shared" si="1"/>
        <v>78733.2</v>
      </c>
      <c r="F22" s="4"/>
      <c r="G22" s="4"/>
      <c r="H22" s="4"/>
      <c r="I22" s="4"/>
      <c r="J22" s="4"/>
      <c r="K22" s="3">
        <f t="shared" si="0"/>
        <v>0</v>
      </c>
    </row>
    <row r="23" spans="1:11" x14ac:dyDescent="0.2">
      <c r="A23" s="3" t="s">
        <v>471</v>
      </c>
      <c r="B23" s="3">
        <v>52</v>
      </c>
      <c r="C23" s="3">
        <f>35.11*42</f>
        <v>1474.62</v>
      </c>
      <c r="D23" s="3">
        <f>+C23*B23</f>
        <v>76680.239999999991</v>
      </c>
      <c r="F23" s="4"/>
      <c r="G23" s="4"/>
      <c r="H23" s="4"/>
      <c r="I23" s="4"/>
      <c r="J23" s="4"/>
      <c r="K23" s="3">
        <f t="shared" si="0"/>
        <v>0</v>
      </c>
    </row>
    <row r="24" spans="1:11" x14ac:dyDescent="0.2">
      <c r="A24" s="3" t="s">
        <v>2079</v>
      </c>
      <c r="F24" s="4"/>
      <c r="G24" s="4"/>
      <c r="H24" s="4"/>
      <c r="I24" s="4"/>
      <c r="J24" s="4"/>
      <c r="K24" s="3">
        <f t="shared" si="0"/>
        <v>0</v>
      </c>
    </row>
    <row r="25" spans="1:11" x14ac:dyDescent="0.2">
      <c r="A25" s="3" t="s">
        <v>1942</v>
      </c>
      <c r="F25" s="4"/>
      <c r="G25" s="4"/>
      <c r="H25" s="4"/>
      <c r="I25" s="4"/>
      <c r="J25" s="4"/>
      <c r="K25" s="3">
        <f t="shared" si="0"/>
        <v>0</v>
      </c>
    </row>
    <row r="26" spans="1:11" x14ac:dyDescent="0.2">
      <c r="A26" s="3" t="s">
        <v>1982</v>
      </c>
      <c r="B26" s="3">
        <v>900</v>
      </c>
      <c r="C26" s="15">
        <f>ROUND(((SUM(D15:D23))/2184)/9,2)</f>
        <v>36.82</v>
      </c>
      <c r="D26" s="3">
        <f>+C26*B26</f>
        <v>33138</v>
      </c>
      <c r="F26" s="4"/>
      <c r="G26" s="4"/>
      <c r="H26" s="4"/>
      <c r="I26" s="4"/>
      <c r="J26" s="4"/>
      <c r="K26" s="3">
        <f t="shared" si="0"/>
        <v>0</v>
      </c>
    </row>
    <row r="27" spans="1:11" ht="15" x14ac:dyDescent="0.35">
      <c r="A27" s="3" t="s">
        <v>1039</v>
      </c>
      <c r="D27" s="14">
        <v>12421</v>
      </c>
      <c r="F27" s="4"/>
      <c r="G27" s="4"/>
      <c r="H27" s="4"/>
      <c r="I27" s="4"/>
      <c r="J27" s="4"/>
      <c r="K27" s="3">
        <f t="shared" si="0"/>
        <v>0</v>
      </c>
    </row>
    <row r="28" spans="1:11" x14ac:dyDescent="0.2">
      <c r="A28" s="3" t="s">
        <v>1320</v>
      </c>
      <c r="D28" s="3">
        <f>SUM(D12:D27)</f>
        <v>1120724.52</v>
      </c>
      <c r="F28" s="4"/>
      <c r="G28" s="4"/>
      <c r="H28" s="4"/>
      <c r="I28" s="4"/>
      <c r="J28" s="4"/>
      <c r="K28" s="3">
        <f t="shared" si="0"/>
        <v>0</v>
      </c>
    </row>
    <row r="29" spans="1:11" x14ac:dyDescent="0.2">
      <c r="F29" s="4"/>
      <c r="G29" s="4"/>
      <c r="H29" s="4"/>
      <c r="I29" s="4"/>
      <c r="J29" s="4"/>
      <c r="K29" s="3">
        <f t="shared" si="0"/>
        <v>0</v>
      </c>
    </row>
    <row r="30" spans="1:11" x14ac:dyDescent="0.2">
      <c r="F30" s="4"/>
      <c r="G30" s="4"/>
      <c r="H30" s="4"/>
      <c r="I30" s="4"/>
      <c r="J30" s="4"/>
      <c r="K30" s="3">
        <f t="shared" si="0"/>
        <v>0</v>
      </c>
    </row>
    <row r="31" spans="1:11" ht="13.5" x14ac:dyDescent="0.25">
      <c r="A31" s="55" t="s">
        <v>1202</v>
      </c>
      <c r="E31" s="3">
        <v>1792355</v>
      </c>
      <c r="F31" s="4">
        <v>2374979</v>
      </c>
      <c r="G31" s="4">
        <v>2379424</v>
      </c>
      <c r="H31" s="4">
        <v>2374651</v>
      </c>
      <c r="I31" s="4">
        <v>2374651</v>
      </c>
      <c r="J31" s="4"/>
      <c r="K31" s="3">
        <f t="shared" si="0"/>
        <v>0</v>
      </c>
    </row>
    <row r="32" spans="1:11" x14ac:dyDescent="0.2">
      <c r="A32" s="491" t="s">
        <v>2646</v>
      </c>
      <c r="B32" s="3">
        <v>52</v>
      </c>
      <c r="C32" s="70">
        <f>26.78*42</f>
        <v>1124.76</v>
      </c>
      <c r="D32" s="3">
        <f t="shared" ref="D32:D44" si="2">+C32*B32</f>
        <v>58487.519999999997</v>
      </c>
      <c r="E32" s="503"/>
      <c r="F32" s="292"/>
      <c r="G32" s="292"/>
      <c r="H32" s="292"/>
      <c r="I32" s="292"/>
      <c r="J32" s="292"/>
      <c r="K32" s="3">
        <f>+H54-I32</f>
        <v>0</v>
      </c>
    </row>
    <row r="33" spans="1:11" x14ac:dyDescent="0.2">
      <c r="A33" s="491" t="s">
        <v>2646</v>
      </c>
      <c r="B33" s="3">
        <v>52</v>
      </c>
      <c r="C33" s="70">
        <f>27.15*42</f>
        <v>1140.3</v>
      </c>
      <c r="D33" s="3">
        <f t="shared" si="2"/>
        <v>59295.6</v>
      </c>
      <c r="E33" s="503"/>
      <c r="F33" s="292"/>
      <c r="G33" s="292"/>
      <c r="H33" s="292"/>
      <c r="I33" s="292"/>
      <c r="J33" s="292"/>
      <c r="K33" s="3">
        <f>+H50-I33</f>
        <v>0</v>
      </c>
    </row>
    <row r="34" spans="1:11" ht="15" x14ac:dyDescent="0.25">
      <c r="A34" s="491" t="s">
        <v>2646</v>
      </c>
      <c r="B34" s="3">
        <v>52</v>
      </c>
      <c r="C34" s="70">
        <f>27.2*42</f>
        <v>1142.3999999999999</v>
      </c>
      <c r="D34" s="3">
        <f t="shared" si="2"/>
        <v>59404.799999999996</v>
      </c>
      <c r="E34" s="172"/>
      <c r="F34" s="292"/>
      <c r="G34" s="292"/>
      <c r="H34" s="292"/>
      <c r="I34" s="292"/>
      <c r="J34" s="292"/>
      <c r="K34" s="3">
        <f>+H32-I34</f>
        <v>0</v>
      </c>
    </row>
    <row r="35" spans="1:11" ht="15" x14ac:dyDescent="0.25">
      <c r="A35" s="491" t="s">
        <v>2646</v>
      </c>
      <c r="B35" s="3">
        <v>52</v>
      </c>
      <c r="C35" s="70">
        <f>27.27*42</f>
        <v>1145.3399999999999</v>
      </c>
      <c r="D35" s="3">
        <f t="shared" si="2"/>
        <v>59557.679999999993</v>
      </c>
      <c r="E35" s="172"/>
      <c r="F35" s="292"/>
      <c r="G35" s="292"/>
      <c r="H35" s="292"/>
      <c r="I35" s="292"/>
      <c r="J35" s="292"/>
      <c r="K35" s="3">
        <f>+H33-I35</f>
        <v>0</v>
      </c>
    </row>
    <row r="36" spans="1:11" x14ac:dyDescent="0.2">
      <c r="A36" s="491" t="s">
        <v>2646</v>
      </c>
      <c r="B36" s="3">
        <v>52</v>
      </c>
      <c r="C36" s="70">
        <f>27.08*42</f>
        <v>1137.3599999999999</v>
      </c>
      <c r="D36" s="3">
        <f t="shared" si="2"/>
        <v>59142.719999999994</v>
      </c>
      <c r="E36" s="503"/>
      <c r="F36" s="292"/>
      <c r="G36" s="292"/>
      <c r="H36" s="292"/>
      <c r="I36" s="292"/>
      <c r="J36" s="292"/>
      <c r="K36" s="3">
        <f>+H34-I36</f>
        <v>0</v>
      </c>
    </row>
    <row r="37" spans="1:11" x14ac:dyDescent="0.2">
      <c r="A37" s="491" t="s">
        <v>2646</v>
      </c>
      <c r="B37" s="3">
        <v>52</v>
      </c>
      <c r="C37" s="70">
        <f>27.36*42</f>
        <v>1149.1199999999999</v>
      </c>
      <c r="D37" s="3">
        <f t="shared" si="2"/>
        <v>59754.239999999991</v>
      </c>
      <c r="E37" s="503"/>
      <c r="F37" s="292"/>
      <c r="G37" s="292"/>
      <c r="H37" s="292"/>
      <c r="I37" s="292"/>
      <c r="J37" s="292"/>
      <c r="K37" s="3">
        <f>+H47-I37</f>
        <v>0</v>
      </c>
    </row>
    <row r="38" spans="1:11" ht="15" x14ac:dyDescent="0.25">
      <c r="A38" s="491" t="s">
        <v>2646</v>
      </c>
      <c r="B38" s="3">
        <v>52</v>
      </c>
      <c r="C38" s="70">
        <f>27.01*42</f>
        <v>1134.42</v>
      </c>
      <c r="D38" s="3">
        <f t="shared" si="2"/>
        <v>58989.840000000004</v>
      </c>
      <c r="E38" s="172"/>
      <c r="F38" s="292"/>
      <c r="G38" s="292"/>
      <c r="H38" s="292"/>
      <c r="I38" s="292"/>
      <c r="J38" s="292"/>
      <c r="K38" s="3">
        <f>+H35-I38</f>
        <v>0</v>
      </c>
    </row>
    <row r="39" spans="1:11" ht="15" x14ac:dyDescent="0.25">
      <c r="A39" s="491" t="s">
        <v>2646</v>
      </c>
      <c r="B39" s="3">
        <v>52</v>
      </c>
      <c r="C39" s="70">
        <f>27.01*42</f>
        <v>1134.42</v>
      </c>
      <c r="D39" s="3">
        <f t="shared" si="2"/>
        <v>58989.840000000004</v>
      </c>
      <c r="E39" s="172"/>
      <c r="F39" s="292"/>
      <c r="G39" s="292"/>
      <c r="H39" s="292"/>
      <c r="I39" s="292"/>
      <c r="J39" s="292"/>
      <c r="K39" s="3">
        <f>+H36-I39</f>
        <v>0</v>
      </c>
    </row>
    <row r="40" spans="1:11" ht="15" x14ac:dyDescent="0.25">
      <c r="A40" s="491" t="s">
        <v>2646</v>
      </c>
      <c r="B40" s="3">
        <v>52</v>
      </c>
      <c r="C40" s="70">
        <f>27.31*42</f>
        <v>1147.02</v>
      </c>
      <c r="D40" s="3">
        <f t="shared" si="2"/>
        <v>59645.04</v>
      </c>
      <c r="E40" s="172"/>
      <c r="F40" s="292"/>
      <c r="G40" s="292"/>
      <c r="H40" s="292"/>
      <c r="I40" s="292"/>
      <c r="J40" s="292"/>
      <c r="K40" s="3">
        <f>+H37-I40</f>
        <v>0</v>
      </c>
    </row>
    <row r="41" spans="1:11" x14ac:dyDescent="0.2">
      <c r="A41" s="491" t="s">
        <v>2646</v>
      </c>
      <c r="B41" s="3">
        <v>52</v>
      </c>
      <c r="C41" s="70">
        <f>27.65*42</f>
        <v>1161.3</v>
      </c>
      <c r="D41" s="3">
        <f t="shared" si="2"/>
        <v>60387.6</v>
      </c>
      <c r="E41" s="503"/>
      <c r="F41" s="292"/>
      <c r="G41" s="292"/>
      <c r="H41" s="292"/>
      <c r="I41" s="292"/>
      <c r="J41" s="292"/>
      <c r="K41" s="3">
        <f>+H51-I41</f>
        <v>0</v>
      </c>
    </row>
    <row r="42" spans="1:11" x14ac:dyDescent="0.2">
      <c r="A42" s="491" t="s">
        <v>2646</v>
      </c>
      <c r="B42" s="3">
        <v>52</v>
      </c>
      <c r="C42" s="70">
        <f>26.78*42</f>
        <v>1124.76</v>
      </c>
      <c r="D42" s="3">
        <f t="shared" si="2"/>
        <v>58487.519999999997</v>
      </c>
      <c r="E42" s="503"/>
      <c r="F42" s="292"/>
      <c r="G42" s="292"/>
      <c r="H42" s="292"/>
      <c r="I42" s="292"/>
      <c r="J42" s="292"/>
      <c r="K42" s="3">
        <f>+H38-I42</f>
        <v>0</v>
      </c>
    </row>
    <row r="43" spans="1:11" x14ac:dyDescent="0.2">
      <c r="A43" s="491" t="s">
        <v>2646</v>
      </c>
      <c r="B43" s="3">
        <v>52</v>
      </c>
      <c r="C43" s="70">
        <f>27.38*42</f>
        <v>1149.96</v>
      </c>
      <c r="D43" s="3">
        <f t="shared" si="2"/>
        <v>59797.919999999998</v>
      </c>
      <c r="E43" s="503"/>
      <c r="F43" s="292"/>
      <c r="G43" s="292"/>
      <c r="H43" s="292"/>
      <c r="I43" s="292"/>
      <c r="J43" s="292"/>
      <c r="K43" s="3">
        <f>+H39-I43</f>
        <v>0</v>
      </c>
    </row>
    <row r="44" spans="1:11" ht="15" x14ac:dyDescent="0.25">
      <c r="A44" s="491" t="s">
        <v>2646</v>
      </c>
      <c r="B44" s="3">
        <v>52</v>
      </c>
      <c r="C44" s="70">
        <f>27.38*42</f>
        <v>1149.96</v>
      </c>
      <c r="D44" s="3">
        <f t="shared" si="2"/>
        <v>59797.919999999998</v>
      </c>
      <c r="E44" s="172"/>
      <c r="F44" s="292"/>
      <c r="G44" s="292"/>
      <c r="H44" s="292"/>
      <c r="I44" s="292"/>
      <c r="J44" s="292"/>
      <c r="K44" s="3">
        <f>+H52-I44</f>
        <v>0</v>
      </c>
    </row>
    <row r="45" spans="1:11" x14ac:dyDescent="0.2">
      <c r="A45" s="491" t="s">
        <v>2646</v>
      </c>
      <c r="B45" s="3">
        <v>52</v>
      </c>
      <c r="C45" s="70">
        <f>26.78*42</f>
        <v>1124.76</v>
      </c>
      <c r="D45" s="3">
        <f t="shared" ref="D45" si="3">+C45*B45</f>
        <v>58487.519999999997</v>
      </c>
      <c r="E45" s="503"/>
      <c r="F45" s="292"/>
      <c r="G45" s="292"/>
      <c r="H45" s="292"/>
      <c r="I45" s="292"/>
      <c r="J45" s="292"/>
      <c r="K45" s="3">
        <f>+H45-I45</f>
        <v>0</v>
      </c>
    </row>
    <row r="46" spans="1:11" x14ac:dyDescent="0.2">
      <c r="A46" s="491" t="s">
        <v>2646</v>
      </c>
      <c r="B46" s="3">
        <v>52</v>
      </c>
      <c r="C46" s="70">
        <f>27.01*42</f>
        <v>1134.42</v>
      </c>
      <c r="D46" s="3">
        <f>+C46*B46</f>
        <v>58989.840000000004</v>
      </c>
      <c r="E46" s="503"/>
      <c r="F46" s="74"/>
      <c r="G46" s="74"/>
      <c r="H46" s="74"/>
      <c r="I46" s="74"/>
      <c r="J46" s="74"/>
      <c r="K46" s="3">
        <f>+H46-I46</f>
        <v>0</v>
      </c>
    </row>
    <row r="47" spans="1:11" ht="15" x14ac:dyDescent="0.25">
      <c r="A47" s="491" t="s">
        <v>2648</v>
      </c>
      <c r="B47" s="3">
        <v>52</v>
      </c>
      <c r="C47" s="70">
        <f>28.52*42</f>
        <v>1197.8399999999999</v>
      </c>
      <c r="D47" s="3">
        <f>+C47*B47</f>
        <v>62287.679999999993</v>
      </c>
      <c r="E47" s="172"/>
      <c r="F47" s="74"/>
      <c r="G47" s="74"/>
      <c r="H47" s="74"/>
      <c r="I47" s="74"/>
      <c r="J47" s="74"/>
      <c r="K47" s="3">
        <f>+H42-I47</f>
        <v>0</v>
      </c>
    </row>
    <row r="48" spans="1:11" ht="15" x14ac:dyDescent="0.25">
      <c r="A48" s="491" t="s">
        <v>2648</v>
      </c>
      <c r="B48" s="3">
        <v>52</v>
      </c>
      <c r="C48" s="70">
        <f>28.68*42</f>
        <v>1204.56</v>
      </c>
      <c r="D48" s="3">
        <f>+C48*B48</f>
        <v>62637.119999999995</v>
      </c>
      <c r="E48" s="172"/>
      <c r="F48" s="292"/>
      <c r="G48" s="292"/>
      <c r="H48" s="292"/>
      <c r="I48" s="292"/>
      <c r="J48" s="292"/>
      <c r="K48" s="3">
        <f>+H48-I48</f>
        <v>0</v>
      </c>
    </row>
    <row r="49" spans="1:11" x14ac:dyDescent="0.2">
      <c r="A49" s="491" t="s">
        <v>2648</v>
      </c>
      <c r="B49" s="3">
        <v>52</v>
      </c>
      <c r="C49" s="70">
        <f>29.2*42</f>
        <v>1226.3999999999999</v>
      </c>
      <c r="D49" s="3">
        <f>+C49*B49</f>
        <v>63772.799999999996</v>
      </c>
      <c r="E49" s="503"/>
      <c r="F49" s="292"/>
      <c r="G49" s="292"/>
      <c r="H49" s="292"/>
      <c r="I49" s="292"/>
      <c r="J49" s="292"/>
      <c r="K49" s="3">
        <f>+H49-I49</f>
        <v>0</v>
      </c>
    </row>
    <row r="50" spans="1:11" x14ac:dyDescent="0.2">
      <c r="A50" s="491" t="s">
        <v>2645</v>
      </c>
      <c r="B50" s="3">
        <v>52</v>
      </c>
      <c r="C50" s="504">
        <f>28.23*42</f>
        <v>1185.6600000000001</v>
      </c>
      <c r="D50" s="3">
        <f t="shared" ref="D50:D68" si="4">+C50*B50</f>
        <v>61654.320000000007</v>
      </c>
      <c r="E50" s="503"/>
      <c r="F50" s="292"/>
      <c r="G50" s="292"/>
      <c r="H50" s="292"/>
      <c r="I50" s="292"/>
      <c r="J50" s="292"/>
      <c r="K50" s="3">
        <f>+H41-I50</f>
        <v>0</v>
      </c>
    </row>
    <row r="51" spans="1:11" ht="15" x14ac:dyDescent="0.25">
      <c r="A51" s="491" t="s">
        <v>2645</v>
      </c>
      <c r="B51" s="3">
        <v>52</v>
      </c>
      <c r="C51" s="70">
        <f>28.6*42</f>
        <v>1201.2</v>
      </c>
      <c r="D51" s="3">
        <f t="shared" si="4"/>
        <v>62462.400000000001</v>
      </c>
      <c r="E51" s="172"/>
      <c r="F51" s="292"/>
      <c r="G51" s="292"/>
      <c r="H51" s="292"/>
      <c r="I51" s="292"/>
      <c r="J51" s="292"/>
      <c r="K51" s="3">
        <f>+H43-I51</f>
        <v>0</v>
      </c>
    </row>
    <row r="52" spans="1:11" x14ac:dyDescent="0.2">
      <c r="A52" s="491" t="s">
        <v>2645</v>
      </c>
      <c r="B52" s="3">
        <v>52</v>
      </c>
      <c r="C52" s="70">
        <f>28.95*42</f>
        <v>1215.8999999999999</v>
      </c>
      <c r="D52" s="3">
        <f t="shared" si="4"/>
        <v>63226.799999999996</v>
      </c>
      <c r="E52" s="503"/>
      <c r="F52" s="292"/>
      <c r="G52" s="292"/>
      <c r="H52" s="292"/>
      <c r="I52" s="292"/>
      <c r="J52" s="292"/>
      <c r="K52" s="3">
        <f>+H44-I52</f>
        <v>0</v>
      </c>
    </row>
    <row r="53" spans="1:11" x14ac:dyDescent="0.2">
      <c r="A53" s="491" t="s">
        <v>2647</v>
      </c>
      <c r="B53" s="3">
        <v>52</v>
      </c>
      <c r="C53" s="70">
        <f>31.18*42</f>
        <v>1309.56</v>
      </c>
      <c r="D53" s="3">
        <f t="shared" si="4"/>
        <v>68097.119999999995</v>
      </c>
      <c r="E53" s="503"/>
      <c r="F53" s="292"/>
      <c r="G53" s="292"/>
      <c r="H53" s="292"/>
      <c r="I53" s="292"/>
      <c r="J53" s="292"/>
      <c r="K53" s="3">
        <f>+H53-I53</f>
        <v>0</v>
      </c>
    </row>
    <row r="54" spans="1:11" x14ac:dyDescent="0.2">
      <c r="A54" s="491" t="s">
        <v>2647</v>
      </c>
      <c r="B54" s="3">
        <v>52</v>
      </c>
      <c r="C54" s="70">
        <f>29.66*42</f>
        <v>1245.72</v>
      </c>
      <c r="D54" s="3">
        <f>+C54*B54</f>
        <v>64777.440000000002</v>
      </c>
      <c r="E54" s="503"/>
      <c r="F54" s="292"/>
      <c r="G54" s="292"/>
      <c r="H54" s="292"/>
      <c r="I54" s="292"/>
      <c r="J54" s="292"/>
      <c r="K54" s="3">
        <f>+H40-I54</f>
        <v>0</v>
      </c>
    </row>
    <row r="55" spans="1:11" x14ac:dyDescent="0.2">
      <c r="A55" s="491" t="s">
        <v>2647</v>
      </c>
      <c r="B55" s="3">
        <v>52</v>
      </c>
      <c r="C55" s="70">
        <f>30.8*42</f>
        <v>1293.6000000000001</v>
      </c>
      <c r="D55" s="3">
        <f t="shared" si="4"/>
        <v>67267.200000000012</v>
      </c>
      <c r="E55" s="503"/>
      <c r="F55" s="292"/>
      <c r="G55" s="292"/>
      <c r="H55" s="292"/>
      <c r="I55" s="292"/>
      <c r="J55" s="292"/>
      <c r="K55" s="3">
        <f t="shared" ref="K55:K86" si="5">+H55-I55</f>
        <v>0</v>
      </c>
    </row>
    <row r="56" spans="1:11" x14ac:dyDescent="0.2">
      <c r="A56" s="491" t="s">
        <v>2647</v>
      </c>
      <c r="B56" s="3">
        <v>52</v>
      </c>
      <c r="C56" s="70">
        <f>29.03*42</f>
        <v>1219.26</v>
      </c>
      <c r="D56" s="3">
        <f t="shared" si="4"/>
        <v>63401.52</v>
      </c>
      <c r="E56" s="503"/>
      <c r="F56" s="292"/>
      <c r="G56" s="292"/>
      <c r="H56" s="292"/>
      <c r="I56" s="292"/>
      <c r="J56" s="292"/>
      <c r="K56" s="3">
        <f t="shared" si="5"/>
        <v>0</v>
      </c>
    </row>
    <row r="57" spans="1:11" ht="15" x14ac:dyDescent="0.25">
      <c r="A57" s="491" t="s">
        <v>1665</v>
      </c>
      <c r="B57" s="3">
        <v>52</v>
      </c>
      <c r="C57" s="70">
        <f>31.01*42</f>
        <v>1302.42</v>
      </c>
      <c r="D57" s="3">
        <f t="shared" si="4"/>
        <v>67725.84</v>
      </c>
      <c r="E57" s="172"/>
      <c r="F57" s="292"/>
      <c r="G57" s="292"/>
      <c r="H57" s="292"/>
      <c r="I57" s="292"/>
      <c r="J57" s="292"/>
      <c r="K57" s="3">
        <f t="shared" si="5"/>
        <v>0</v>
      </c>
    </row>
    <row r="58" spans="1:11" ht="15" x14ac:dyDescent="0.25">
      <c r="A58" s="491" t="s">
        <v>1665</v>
      </c>
      <c r="B58" s="3">
        <v>52</v>
      </c>
      <c r="C58" s="70">
        <f>30.85*42</f>
        <v>1295.7</v>
      </c>
      <c r="D58" s="3">
        <f t="shared" si="4"/>
        <v>67376.400000000009</v>
      </c>
      <c r="E58" s="172"/>
      <c r="F58" s="292"/>
      <c r="G58" s="292"/>
      <c r="H58" s="292"/>
      <c r="I58" s="292"/>
      <c r="J58" s="292"/>
      <c r="K58" s="3">
        <f t="shared" si="5"/>
        <v>0</v>
      </c>
    </row>
    <row r="59" spans="1:11" ht="15" x14ac:dyDescent="0.25">
      <c r="A59" s="491" t="s">
        <v>1665</v>
      </c>
      <c r="B59" s="3">
        <v>52</v>
      </c>
      <c r="C59" s="70">
        <f>30.61*42</f>
        <v>1285.6199999999999</v>
      </c>
      <c r="D59" s="3">
        <f t="shared" si="4"/>
        <v>66852.239999999991</v>
      </c>
      <c r="E59" s="172"/>
      <c r="F59" s="74"/>
      <c r="G59" s="74"/>
      <c r="H59" s="74"/>
      <c r="I59" s="74"/>
      <c r="J59" s="74"/>
      <c r="K59" s="3">
        <f t="shared" si="5"/>
        <v>0</v>
      </c>
    </row>
    <row r="60" spans="1:11" ht="15" x14ac:dyDescent="0.25">
      <c r="A60" s="491" t="s">
        <v>1665</v>
      </c>
      <c r="B60" s="3">
        <v>52</v>
      </c>
      <c r="C60" s="70">
        <f>31.06*42</f>
        <v>1304.52</v>
      </c>
      <c r="D60" s="3">
        <f t="shared" si="4"/>
        <v>67835.039999999994</v>
      </c>
      <c r="E60" s="172"/>
      <c r="F60" s="74"/>
      <c r="G60" s="74"/>
      <c r="H60" s="74"/>
      <c r="I60" s="74"/>
      <c r="J60" s="74"/>
      <c r="K60" s="3">
        <f t="shared" si="5"/>
        <v>0</v>
      </c>
    </row>
    <row r="61" spans="1:11" ht="15" x14ac:dyDescent="0.25">
      <c r="A61" s="491" t="s">
        <v>1665</v>
      </c>
      <c r="B61" s="3">
        <v>52</v>
      </c>
      <c r="C61" s="70">
        <f>30.8*42</f>
        <v>1293.6000000000001</v>
      </c>
      <c r="D61" s="3">
        <f t="shared" si="4"/>
        <v>67267.200000000012</v>
      </c>
      <c r="E61" s="172"/>
      <c r="F61" s="292"/>
      <c r="G61" s="292"/>
      <c r="H61" s="292"/>
      <c r="I61" s="292"/>
      <c r="J61" s="292"/>
      <c r="K61" s="3">
        <f t="shared" si="5"/>
        <v>0</v>
      </c>
    </row>
    <row r="62" spans="1:11" ht="15" x14ac:dyDescent="0.25">
      <c r="A62" s="491" t="s">
        <v>1665</v>
      </c>
      <c r="B62" s="3">
        <v>52</v>
      </c>
      <c r="C62" s="70">
        <f>31.18*42</f>
        <v>1309.56</v>
      </c>
      <c r="D62" s="3">
        <f t="shared" si="4"/>
        <v>68097.119999999995</v>
      </c>
      <c r="E62" s="172"/>
      <c r="F62" s="292"/>
      <c r="G62" s="292"/>
      <c r="H62" s="292"/>
      <c r="I62" s="292"/>
      <c r="J62" s="292"/>
      <c r="K62" s="3">
        <f t="shared" si="5"/>
        <v>0</v>
      </c>
    </row>
    <row r="63" spans="1:11" ht="15" x14ac:dyDescent="0.25">
      <c r="A63" s="491" t="s">
        <v>1665</v>
      </c>
      <c r="B63" s="3">
        <v>52</v>
      </c>
      <c r="C63" s="70">
        <f>30.57*42</f>
        <v>1283.94</v>
      </c>
      <c r="D63" s="3">
        <f t="shared" si="4"/>
        <v>66764.88</v>
      </c>
      <c r="E63" s="172"/>
      <c r="F63" s="74"/>
      <c r="G63" s="74"/>
      <c r="H63" s="74"/>
      <c r="I63" s="74"/>
      <c r="J63" s="74"/>
      <c r="K63" s="3">
        <f t="shared" si="5"/>
        <v>0</v>
      </c>
    </row>
    <row r="64" spans="1:11" ht="15" x14ac:dyDescent="0.25">
      <c r="A64" s="491" t="s">
        <v>1665</v>
      </c>
      <c r="B64" s="3">
        <v>52</v>
      </c>
      <c r="C64" s="70">
        <f>30.66*42</f>
        <v>1287.72</v>
      </c>
      <c r="D64" s="3">
        <f t="shared" si="4"/>
        <v>66961.440000000002</v>
      </c>
      <c r="E64" s="172"/>
      <c r="F64" s="292"/>
      <c r="G64" s="292"/>
      <c r="H64" s="292"/>
      <c r="I64" s="292"/>
      <c r="J64" s="292"/>
      <c r="K64" s="3">
        <f t="shared" si="5"/>
        <v>0</v>
      </c>
    </row>
    <row r="65" spans="1:11" x14ac:dyDescent="0.2">
      <c r="A65" s="491" t="s">
        <v>1665</v>
      </c>
      <c r="B65" s="3">
        <v>52</v>
      </c>
      <c r="C65" s="70">
        <f>28.77*42</f>
        <v>1208.3399999999999</v>
      </c>
      <c r="D65" s="3">
        <f t="shared" si="4"/>
        <v>62833.679999999993</v>
      </c>
      <c r="E65" s="503"/>
      <c r="F65" s="292"/>
      <c r="G65" s="292"/>
      <c r="H65" s="292"/>
      <c r="I65" s="292"/>
      <c r="J65" s="292"/>
      <c r="K65" s="3">
        <f t="shared" si="5"/>
        <v>0</v>
      </c>
    </row>
    <row r="66" spans="1:11" ht="15" x14ac:dyDescent="0.25">
      <c r="A66" s="491" t="s">
        <v>2649</v>
      </c>
      <c r="B66" s="3">
        <v>52</v>
      </c>
      <c r="C66" s="70">
        <f>30.66*42</f>
        <v>1287.72</v>
      </c>
      <c r="D66" s="3">
        <f t="shared" si="4"/>
        <v>66961.440000000002</v>
      </c>
      <c r="E66" s="172"/>
      <c r="F66" s="292"/>
      <c r="G66" s="292"/>
      <c r="H66" s="292"/>
      <c r="I66" s="292"/>
      <c r="J66" s="292"/>
      <c r="K66" s="3">
        <f t="shared" si="5"/>
        <v>0</v>
      </c>
    </row>
    <row r="67" spans="1:11" ht="15" x14ac:dyDescent="0.25">
      <c r="A67" s="491" t="s">
        <v>2649</v>
      </c>
      <c r="B67" s="3">
        <v>52</v>
      </c>
      <c r="C67" s="70">
        <f>32.21*42</f>
        <v>1352.82</v>
      </c>
      <c r="D67" s="3">
        <f t="shared" si="4"/>
        <v>70346.64</v>
      </c>
      <c r="E67" s="172"/>
      <c r="F67" s="292"/>
      <c r="G67" s="292"/>
      <c r="H67" s="292"/>
      <c r="I67" s="292"/>
      <c r="J67" s="292"/>
      <c r="K67" s="3">
        <f t="shared" si="5"/>
        <v>0</v>
      </c>
    </row>
    <row r="68" spans="1:11" x14ac:dyDescent="0.2">
      <c r="A68" s="3" t="s">
        <v>2488</v>
      </c>
      <c r="B68" s="3">
        <v>3600</v>
      </c>
      <c r="C68" s="15">
        <f>(AVERAGE(D32:D67))/2184</f>
        <v>28.843888888888888</v>
      </c>
      <c r="D68" s="3">
        <f t="shared" si="4"/>
        <v>103838</v>
      </c>
      <c r="F68" s="4"/>
      <c r="G68" s="4"/>
      <c r="H68" s="4"/>
      <c r="I68" s="4"/>
      <c r="J68" s="4"/>
      <c r="K68" s="3">
        <f t="shared" si="5"/>
        <v>0</v>
      </c>
    </row>
    <row r="69" spans="1:11" ht="15" x14ac:dyDescent="0.35">
      <c r="A69" s="3" t="s">
        <v>1039</v>
      </c>
      <c r="D69" s="14">
        <v>2991</v>
      </c>
      <c r="F69" s="4"/>
      <c r="G69" s="4"/>
      <c r="H69" s="4"/>
      <c r="I69" s="4"/>
      <c r="J69" s="4"/>
      <c r="K69" s="3">
        <f t="shared" si="5"/>
        <v>0</v>
      </c>
    </row>
    <row r="70" spans="1:11" x14ac:dyDescent="0.2">
      <c r="A70" s="3" t="s">
        <v>1320</v>
      </c>
      <c r="C70" s="15"/>
      <c r="D70" s="3">
        <f>SUM(D32:D69)</f>
        <v>2374650.92</v>
      </c>
      <c r="F70" s="4"/>
      <c r="G70" s="4"/>
      <c r="H70" s="4"/>
      <c r="I70" s="4"/>
      <c r="J70" s="4"/>
      <c r="K70" s="3">
        <f t="shared" si="5"/>
        <v>0</v>
      </c>
    </row>
    <row r="71" spans="1:11" x14ac:dyDescent="0.2">
      <c r="C71" s="15"/>
      <c r="F71" s="4"/>
      <c r="G71" s="4"/>
      <c r="H71" s="4"/>
      <c r="I71" s="4"/>
      <c r="J71" s="4"/>
      <c r="K71" s="3">
        <f t="shared" si="5"/>
        <v>0</v>
      </c>
    </row>
    <row r="72" spans="1:11" x14ac:dyDescent="0.2">
      <c r="C72" s="15"/>
      <c r="F72" s="4"/>
      <c r="G72" s="4"/>
      <c r="H72" s="4"/>
      <c r="I72" s="4"/>
      <c r="J72" s="4"/>
      <c r="K72" s="3">
        <f t="shared" si="5"/>
        <v>0</v>
      </c>
    </row>
    <row r="73" spans="1:11" ht="13.5" x14ac:dyDescent="0.25">
      <c r="A73" s="61" t="s">
        <v>1038</v>
      </c>
      <c r="B73" s="3" t="s">
        <v>631</v>
      </c>
      <c r="C73" s="15" t="s">
        <v>632</v>
      </c>
      <c r="D73" s="3" t="s">
        <v>630</v>
      </c>
      <c r="E73" s="3">
        <v>272489</v>
      </c>
      <c r="F73" s="4">
        <v>226167</v>
      </c>
      <c r="G73" s="4">
        <v>225394</v>
      </c>
      <c r="H73" s="4">
        <v>225394</v>
      </c>
      <c r="I73" s="4">
        <v>225394</v>
      </c>
      <c r="J73" s="4"/>
      <c r="K73" s="3">
        <f t="shared" si="5"/>
        <v>0</v>
      </c>
    </row>
    <row r="74" spans="1:11" x14ac:dyDescent="0.2">
      <c r="A74" s="3" t="s">
        <v>1675</v>
      </c>
      <c r="B74" s="3">
        <v>800</v>
      </c>
      <c r="C74" s="15">
        <f>+SUM(D15:D23)/2184*1.5/9</f>
        <v>55.223253968253971</v>
      </c>
      <c r="D74" s="3">
        <f>C74*B74</f>
        <v>44178.60317460318</v>
      </c>
      <c r="F74" s="4"/>
      <c r="G74" s="4"/>
      <c r="H74" s="4"/>
      <c r="I74" s="4"/>
      <c r="J74" s="4"/>
      <c r="K74" s="3">
        <f t="shared" si="5"/>
        <v>0</v>
      </c>
    </row>
    <row r="75" spans="1:11" x14ac:dyDescent="0.2">
      <c r="A75" s="3" t="s">
        <v>1773</v>
      </c>
      <c r="B75" s="3">
        <f>64.5+2417</f>
        <v>2481.5</v>
      </c>
      <c r="C75" s="15">
        <f>+C74</f>
        <v>55.223253968253971</v>
      </c>
      <c r="D75" s="3">
        <f>C75*B75</f>
        <v>137036.50472222222</v>
      </c>
      <c r="F75" s="4"/>
      <c r="G75" s="4"/>
      <c r="H75" s="4"/>
      <c r="I75" s="4"/>
      <c r="J75" s="4"/>
      <c r="K75" s="3">
        <f t="shared" si="5"/>
        <v>0</v>
      </c>
    </row>
    <row r="76" spans="1:11" x14ac:dyDescent="0.2">
      <c r="A76" s="3" t="s">
        <v>2211</v>
      </c>
      <c r="B76" s="3">
        <v>220</v>
      </c>
      <c r="C76" s="15">
        <f>+C75</f>
        <v>55.223253968253971</v>
      </c>
      <c r="D76" s="3">
        <f>C76*B76</f>
        <v>12149.115873015873</v>
      </c>
      <c r="F76" s="4"/>
      <c r="G76" s="4"/>
      <c r="H76" s="4"/>
      <c r="I76" s="4"/>
      <c r="J76" s="4"/>
      <c r="K76" s="3">
        <f t="shared" si="5"/>
        <v>0</v>
      </c>
    </row>
    <row r="77" spans="1:11" x14ac:dyDescent="0.2">
      <c r="A77" s="3" t="s">
        <v>1676</v>
      </c>
      <c r="B77" s="3">
        <v>480</v>
      </c>
      <c r="C77" s="15">
        <f>+C74</f>
        <v>55.223253968253971</v>
      </c>
      <c r="D77" s="3">
        <f>+B77*C77</f>
        <v>26507.161904761906</v>
      </c>
      <c r="F77" s="4"/>
      <c r="G77" s="4"/>
      <c r="H77" s="4"/>
      <c r="I77" s="4"/>
      <c r="J77" s="4"/>
      <c r="K77" s="3">
        <f t="shared" si="5"/>
        <v>0</v>
      </c>
    </row>
    <row r="78" spans="1:11" ht="15" x14ac:dyDescent="0.35">
      <c r="A78" s="3" t="s">
        <v>2212</v>
      </c>
      <c r="B78" s="3">
        <v>100</v>
      </c>
      <c r="C78" s="15">
        <f>+C74</f>
        <v>55.223253968253971</v>
      </c>
      <c r="D78" s="14">
        <f>+B78*C78</f>
        <v>5522.3253968253975</v>
      </c>
      <c r="F78" s="4"/>
      <c r="G78" s="4"/>
      <c r="H78" s="4"/>
      <c r="I78" s="4"/>
      <c r="J78" s="4"/>
      <c r="K78" s="3">
        <f t="shared" si="5"/>
        <v>0</v>
      </c>
    </row>
    <row r="79" spans="1:11" x14ac:dyDescent="0.2">
      <c r="A79" s="3" t="s">
        <v>1320</v>
      </c>
      <c r="C79" s="15"/>
      <c r="D79" s="3">
        <f>SUM(D74:D78)</f>
        <v>225393.71107142858</v>
      </c>
      <c r="F79" s="4"/>
      <c r="G79" s="4"/>
      <c r="H79" s="4"/>
      <c r="I79" s="4"/>
      <c r="J79" s="4"/>
      <c r="K79" s="3">
        <f t="shared" si="5"/>
        <v>0</v>
      </c>
    </row>
    <row r="80" spans="1:11" x14ac:dyDescent="0.2">
      <c r="C80" s="15"/>
      <c r="F80" s="4"/>
      <c r="G80" s="4"/>
      <c r="H80" s="4"/>
      <c r="I80" s="4"/>
      <c r="J80" s="4"/>
      <c r="K80" s="3">
        <f t="shared" si="5"/>
        <v>0</v>
      </c>
    </row>
    <row r="81" spans="1:11" ht="13.5" x14ac:dyDescent="0.25">
      <c r="A81" s="61" t="s">
        <v>533</v>
      </c>
      <c r="B81" s="3" t="s">
        <v>631</v>
      </c>
      <c r="C81" s="15" t="s">
        <v>632</v>
      </c>
      <c r="D81" s="3" t="s">
        <v>630</v>
      </c>
      <c r="E81" s="3">
        <v>77737</v>
      </c>
      <c r="F81" s="4">
        <v>100368</v>
      </c>
      <c r="G81" s="4">
        <v>98295</v>
      </c>
      <c r="H81" s="4">
        <v>98295</v>
      </c>
      <c r="I81" s="4">
        <v>99668</v>
      </c>
      <c r="J81" s="4"/>
      <c r="K81" s="3">
        <f t="shared" si="5"/>
        <v>-1373</v>
      </c>
    </row>
    <row r="82" spans="1:11" x14ac:dyDescent="0.2">
      <c r="A82" s="473" t="s">
        <v>2057</v>
      </c>
      <c r="C82" s="15"/>
      <c r="F82" s="4"/>
      <c r="G82" s="4"/>
      <c r="H82" s="4"/>
      <c r="I82" s="4"/>
      <c r="J82" s="4"/>
      <c r="K82" s="3">
        <f t="shared" si="5"/>
        <v>0</v>
      </c>
    </row>
    <row r="83" spans="1:11" x14ac:dyDescent="0.2">
      <c r="A83" s="47" t="s">
        <v>2058</v>
      </c>
      <c r="B83" s="3">
        <v>1248</v>
      </c>
      <c r="C83" s="15">
        <v>21</v>
      </c>
      <c r="D83" s="3">
        <f>C83*B83</f>
        <v>26208</v>
      </c>
      <c r="F83" s="4"/>
      <c r="G83" s="4"/>
      <c r="H83" s="4"/>
      <c r="I83" s="4"/>
      <c r="J83" s="4"/>
      <c r="K83" s="3">
        <f t="shared" si="5"/>
        <v>0</v>
      </c>
    </row>
    <row r="84" spans="1:11" x14ac:dyDescent="0.2">
      <c r="A84" s="47" t="s">
        <v>2059</v>
      </c>
      <c r="B84" s="3">
        <v>1500</v>
      </c>
      <c r="C84" s="15">
        <v>19</v>
      </c>
      <c r="D84" s="3">
        <f>C84*B84</f>
        <v>28500</v>
      </c>
      <c r="F84" s="4"/>
      <c r="G84" s="4"/>
      <c r="H84" s="4"/>
      <c r="I84" s="4"/>
      <c r="J84" s="4"/>
      <c r="K84" s="3">
        <f t="shared" si="5"/>
        <v>0</v>
      </c>
    </row>
    <row r="85" spans="1:11" ht="15" x14ac:dyDescent="0.35">
      <c r="A85" s="47" t="s">
        <v>2060</v>
      </c>
      <c r="B85" s="14">
        <v>100</v>
      </c>
      <c r="C85" s="15">
        <v>16</v>
      </c>
      <c r="D85" s="14">
        <f>C85*B85</f>
        <v>1600</v>
      </c>
      <c r="F85" s="4"/>
      <c r="G85" s="4"/>
      <c r="H85" s="4"/>
      <c r="I85" s="4"/>
      <c r="J85" s="4"/>
      <c r="K85" s="3">
        <f t="shared" si="5"/>
        <v>0</v>
      </c>
    </row>
    <row r="86" spans="1:11" x14ac:dyDescent="0.2">
      <c r="B86" s="3">
        <f>SUM(B83:B85)</f>
        <v>2848</v>
      </c>
      <c r="D86" s="3">
        <f>SUM(D83:D85)</f>
        <v>56308</v>
      </c>
      <c r="F86" s="4"/>
      <c r="G86" s="4"/>
      <c r="H86" s="4"/>
      <c r="I86" s="4"/>
      <c r="J86" s="4"/>
      <c r="K86" s="3">
        <f t="shared" si="5"/>
        <v>0</v>
      </c>
    </row>
    <row r="87" spans="1:11" x14ac:dyDescent="0.2">
      <c r="A87" s="241" t="s">
        <v>2061</v>
      </c>
      <c r="F87" s="4"/>
      <c r="G87" s="4"/>
      <c r="H87" s="4"/>
      <c r="I87" s="4"/>
      <c r="J87" s="4"/>
      <c r="K87" s="3">
        <f t="shared" ref="K87:K118" si="6">+H87-I87</f>
        <v>0</v>
      </c>
    </row>
    <row r="88" spans="1:11" x14ac:dyDescent="0.2">
      <c r="A88" s="3" t="s">
        <v>2213</v>
      </c>
      <c r="B88" s="3">
        <v>1248</v>
      </c>
      <c r="C88" s="26">
        <v>32.4</v>
      </c>
      <c r="D88" s="3">
        <f>+B88*C88</f>
        <v>40435.199999999997</v>
      </c>
      <c r="F88" s="4"/>
      <c r="G88" s="4"/>
      <c r="H88" s="4"/>
      <c r="I88" s="4"/>
      <c r="J88" s="4"/>
      <c r="K88" s="3">
        <f t="shared" si="6"/>
        <v>0</v>
      </c>
    </row>
    <row r="89" spans="1:11" x14ac:dyDescent="0.2">
      <c r="C89" s="26"/>
      <c r="F89" s="4"/>
      <c r="G89" s="4"/>
      <c r="H89" s="4"/>
      <c r="I89" s="4"/>
      <c r="J89" s="4"/>
      <c r="K89" s="3">
        <f t="shared" si="6"/>
        <v>0</v>
      </c>
    </row>
    <row r="90" spans="1:11" x14ac:dyDescent="0.2">
      <c r="A90" s="7" t="s">
        <v>2062</v>
      </c>
      <c r="B90" s="19"/>
      <c r="C90" s="45"/>
      <c r="F90" s="4"/>
      <c r="G90" s="4"/>
      <c r="H90" s="4"/>
      <c r="I90" s="4"/>
      <c r="J90" s="4"/>
      <c r="K90" s="3">
        <f t="shared" si="6"/>
        <v>0</v>
      </c>
    </row>
    <row r="91" spans="1:11" x14ac:dyDescent="0.2">
      <c r="A91" s="3" t="s">
        <v>2063</v>
      </c>
      <c r="B91" s="3">
        <v>100</v>
      </c>
      <c r="C91" s="26">
        <v>11.7</v>
      </c>
      <c r="D91" s="3">
        <f>+B91*C91</f>
        <v>1170</v>
      </c>
      <c r="F91" s="4"/>
      <c r="G91" s="4"/>
      <c r="H91" s="4"/>
      <c r="I91" s="4"/>
      <c r="J91" s="4"/>
      <c r="K91" s="3">
        <f t="shared" si="6"/>
        <v>0</v>
      </c>
    </row>
    <row r="92" spans="1:11" ht="15" x14ac:dyDescent="0.35">
      <c r="A92" s="54" t="s">
        <v>643</v>
      </c>
      <c r="B92" s="3">
        <v>100</v>
      </c>
      <c r="C92" s="26">
        <v>17.55</v>
      </c>
      <c r="D92" s="14">
        <f>+B92*C92</f>
        <v>1755</v>
      </c>
      <c r="F92" s="4"/>
      <c r="G92" s="4"/>
      <c r="H92" s="4"/>
      <c r="I92" s="4"/>
      <c r="J92" s="4"/>
      <c r="K92" s="3">
        <f t="shared" si="6"/>
        <v>0</v>
      </c>
    </row>
    <row r="93" spans="1:11" ht="15" x14ac:dyDescent="0.35">
      <c r="C93" s="15"/>
      <c r="D93" s="14">
        <f>SUM(D91:D92)</f>
        <v>2925</v>
      </c>
      <c r="F93" s="4"/>
      <c r="G93" s="4"/>
      <c r="H93" s="4"/>
      <c r="I93" s="4"/>
      <c r="J93" s="4"/>
      <c r="K93" s="3">
        <f t="shared" si="6"/>
        <v>0</v>
      </c>
    </row>
    <row r="94" spans="1:11" ht="13.5" x14ac:dyDescent="0.25">
      <c r="A94" s="56" t="s">
        <v>1320</v>
      </c>
      <c r="C94" s="15"/>
      <c r="D94" s="3">
        <f>SUM(D86,D88,D93)</f>
        <v>99668.2</v>
      </c>
      <c r="F94" s="4"/>
      <c r="G94" s="4"/>
      <c r="H94" s="4"/>
      <c r="I94" s="4"/>
      <c r="J94" s="4"/>
      <c r="K94" s="3">
        <f t="shared" si="6"/>
        <v>0</v>
      </c>
    </row>
    <row r="95" spans="1:11" x14ac:dyDescent="0.2">
      <c r="C95" s="15"/>
      <c r="F95" s="4"/>
      <c r="G95" s="4"/>
      <c r="H95" s="4"/>
      <c r="I95" s="4"/>
      <c r="J95" s="4"/>
      <c r="K95" s="3">
        <f t="shared" si="6"/>
        <v>0</v>
      </c>
    </row>
    <row r="96" spans="1:11" ht="13.5" x14ac:dyDescent="0.25">
      <c r="A96" s="61" t="s">
        <v>1576</v>
      </c>
      <c r="B96" s="3" t="s">
        <v>631</v>
      </c>
      <c r="C96" s="15" t="s">
        <v>632</v>
      </c>
      <c r="D96" s="3" t="s">
        <v>630</v>
      </c>
      <c r="E96" s="3">
        <v>686705</v>
      </c>
      <c r="F96" s="4">
        <v>469240</v>
      </c>
      <c r="G96" s="4">
        <v>496606</v>
      </c>
      <c r="H96" s="4">
        <v>492180</v>
      </c>
      <c r="I96" s="4">
        <v>492180</v>
      </c>
      <c r="J96" s="4"/>
      <c r="K96" s="3">
        <f t="shared" si="6"/>
        <v>0</v>
      </c>
    </row>
    <row r="97" spans="1:11" x14ac:dyDescent="0.2">
      <c r="A97" s="3" t="s">
        <v>1857</v>
      </c>
      <c r="B97" s="3">
        <v>804</v>
      </c>
      <c r="C97" s="15">
        <f>+C68*1.5</f>
        <v>43.265833333333333</v>
      </c>
      <c r="D97" s="3">
        <f>ROUND(B97*C97,0)</f>
        <v>34786</v>
      </c>
      <c r="E97" s="15"/>
      <c r="F97" s="4"/>
      <c r="G97" s="4"/>
      <c r="H97" s="4"/>
      <c r="I97" s="4"/>
      <c r="J97" s="4"/>
      <c r="K97" s="3">
        <f t="shared" si="6"/>
        <v>0</v>
      </c>
    </row>
    <row r="98" spans="1:11" x14ac:dyDescent="0.2">
      <c r="A98" s="3" t="s">
        <v>1858</v>
      </c>
      <c r="B98" s="3">
        <v>7000</v>
      </c>
      <c r="C98" s="15">
        <f>+C97</f>
        <v>43.265833333333333</v>
      </c>
      <c r="D98" s="3">
        <f>ROUND(B98*C98,0)</f>
        <v>302861</v>
      </c>
      <c r="E98" s="15"/>
      <c r="F98" s="4"/>
      <c r="G98" s="4"/>
      <c r="H98" s="4"/>
      <c r="I98" s="4"/>
      <c r="J98" s="4"/>
      <c r="K98" s="3">
        <f t="shared" si="6"/>
        <v>0</v>
      </c>
    </row>
    <row r="99" spans="1:11" x14ac:dyDescent="0.2">
      <c r="A99" s="3" t="s">
        <v>2499</v>
      </c>
      <c r="B99" s="3">
        <v>2640</v>
      </c>
      <c r="C99" s="15">
        <f>+C97</f>
        <v>43.265833333333333</v>
      </c>
      <c r="D99" s="3">
        <f>+B99*C99</f>
        <v>114221.8</v>
      </c>
      <c r="E99" s="15"/>
      <c r="F99" s="4"/>
      <c r="G99" s="4"/>
      <c r="H99" s="4"/>
      <c r="I99" s="4"/>
      <c r="J99" s="4"/>
      <c r="K99" s="3">
        <f t="shared" si="6"/>
        <v>0</v>
      </c>
    </row>
    <row r="100" spans="1:11" x14ac:dyDescent="0.2">
      <c r="A100" s="53" t="s">
        <v>2102</v>
      </c>
      <c r="B100" s="3">
        <v>187</v>
      </c>
      <c r="C100" s="15">
        <f t="shared" ref="C100" si="7">+C98</f>
        <v>43.265833333333333</v>
      </c>
      <c r="D100" s="3">
        <f>+B100*C100</f>
        <v>8090.7108333333335</v>
      </c>
      <c r="E100" s="15"/>
      <c r="F100" s="4"/>
      <c r="G100" s="4"/>
      <c r="H100" s="4"/>
      <c r="I100" s="4"/>
      <c r="J100" s="4"/>
      <c r="K100" s="3">
        <f t="shared" si="6"/>
        <v>0</v>
      </c>
    </row>
    <row r="101" spans="1:11" x14ac:dyDescent="0.2">
      <c r="A101" s="53" t="s">
        <v>2584</v>
      </c>
      <c r="B101" s="3">
        <v>360</v>
      </c>
      <c r="C101" s="502">
        <v>43.35</v>
      </c>
      <c r="D101" s="3">
        <f>+B101*C101</f>
        <v>15606</v>
      </c>
      <c r="E101" s="15"/>
      <c r="F101" s="4"/>
      <c r="G101" s="4"/>
      <c r="H101" s="4"/>
      <c r="I101" s="4"/>
      <c r="J101" s="4"/>
      <c r="K101" s="3">
        <f t="shared" si="6"/>
        <v>0</v>
      </c>
    </row>
    <row r="102" spans="1:11" ht="13.5" x14ac:dyDescent="0.25">
      <c r="A102" s="340" t="s">
        <v>1827</v>
      </c>
      <c r="C102" s="15"/>
      <c r="E102" s="15"/>
      <c r="F102" s="4"/>
      <c r="G102" s="4"/>
      <c r="H102" s="4"/>
      <c r="I102" s="4"/>
      <c r="J102" s="4"/>
      <c r="K102" s="3">
        <f t="shared" si="6"/>
        <v>0</v>
      </c>
    </row>
    <row r="103" spans="1:11" x14ac:dyDescent="0.2">
      <c r="A103" s="3" t="s">
        <v>2214</v>
      </c>
      <c r="B103" s="3">
        <v>215</v>
      </c>
      <c r="C103" s="15">
        <f>+C98</f>
        <v>43.265833333333333</v>
      </c>
      <c r="D103" s="3">
        <f>+B103*C103</f>
        <v>9302.1541666666672</v>
      </c>
      <c r="E103" s="15"/>
      <c r="F103" s="4"/>
      <c r="G103" s="4"/>
      <c r="H103" s="4"/>
      <c r="I103" s="4"/>
      <c r="J103" s="4"/>
      <c r="K103" s="3">
        <f t="shared" si="6"/>
        <v>0</v>
      </c>
    </row>
    <row r="104" spans="1:11" ht="15" x14ac:dyDescent="0.35">
      <c r="A104" s="54" t="s">
        <v>1674</v>
      </c>
      <c r="B104" s="54">
        <v>169</v>
      </c>
      <c r="C104" s="15">
        <f>+C98</f>
        <v>43.265833333333333</v>
      </c>
      <c r="D104" s="14">
        <f>+B104*C104</f>
        <v>7311.9258333333337</v>
      </c>
      <c r="E104" s="15"/>
      <c r="F104" s="4"/>
      <c r="G104" s="4"/>
      <c r="H104" s="4"/>
      <c r="I104" s="4"/>
      <c r="J104" s="4"/>
      <c r="K104" s="3">
        <f t="shared" si="6"/>
        <v>0</v>
      </c>
    </row>
    <row r="105" spans="1:11" x14ac:dyDescent="0.2">
      <c r="A105" s="53" t="s">
        <v>1320</v>
      </c>
      <c r="C105" s="17"/>
      <c r="D105" s="3">
        <f>SUM(D97:D104)</f>
        <v>492179.59083333332</v>
      </c>
      <c r="F105" s="4"/>
      <c r="G105" s="4"/>
      <c r="H105" s="4"/>
      <c r="I105" s="4"/>
      <c r="J105" s="4"/>
      <c r="K105" s="3">
        <f t="shared" si="6"/>
        <v>0</v>
      </c>
    </row>
    <row r="106" spans="1:11" x14ac:dyDescent="0.2">
      <c r="A106" s="53"/>
      <c r="C106" s="17"/>
      <c r="F106" s="4"/>
      <c r="G106" s="4"/>
      <c r="H106" s="4"/>
      <c r="I106" s="4"/>
      <c r="J106" s="4"/>
      <c r="K106" s="3">
        <f t="shared" si="6"/>
        <v>0</v>
      </c>
    </row>
    <row r="107" spans="1:11" ht="15" x14ac:dyDescent="0.35">
      <c r="A107" s="61" t="s">
        <v>964</v>
      </c>
      <c r="C107" s="17"/>
      <c r="D107" s="14"/>
      <c r="E107" s="3">
        <v>68054</v>
      </c>
      <c r="F107" s="4">
        <v>72163</v>
      </c>
      <c r="G107" s="4">
        <v>72291</v>
      </c>
      <c r="H107" s="4">
        <v>72158</v>
      </c>
      <c r="I107" s="4">
        <v>72551</v>
      </c>
      <c r="J107" s="4"/>
      <c r="K107" s="3">
        <f t="shared" si="6"/>
        <v>-393</v>
      </c>
    </row>
    <row r="108" spans="1:11" x14ac:dyDescent="0.2">
      <c r="A108" s="3" t="s">
        <v>965</v>
      </c>
      <c r="B108" s="3">
        <f>+D9</f>
        <v>50180</v>
      </c>
      <c r="C108" s="86">
        <v>7.6499999999999999E-2</v>
      </c>
      <c r="D108" s="3">
        <f t="shared" ref="D108:D113" si="8">+C108*B108</f>
        <v>3838.77</v>
      </c>
      <c r="F108" s="4"/>
      <c r="G108" s="4"/>
      <c r="H108" s="4"/>
      <c r="I108" s="4"/>
      <c r="J108" s="4"/>
      <c r="K108" s="3">
        <f t="shared" si="6"/>
        <v>0</v>
      </c>
    </row>
    <row r="109" spans="1:11" x14ac:dyDescent="0.2">
      <c r="A109" s="3" t="s">
        <v>1536</v>
      </c>
      <c r="B109" s="3">
        <f>+D28</f>
        <v>1120724.52</v>
      </c>
      <c r="C109" s="86">
        <v>1.4500000000000001E-2</v>
      </c>
      <c r="D109" s="3">
        <f t="shared" si="8"/>
        <v>16250.505540000002</v>
      </c>
      <c r="F109" s="4"/>
      <c r="G109" s="4"/>
      <c r="H109" s="4"/>
      <c r="I109" s="4"/>
      <c r="J109" s="4"/>
      <c r="K109" s="3">
        <f t="shared" si="6"/>
        <v>0</v>
      </c>
    </row>
    <row r="110" spans="1:11" x14ac:dyDescent="0.2">
      <c r="A110" s="199" t="s">
        <v>883</v>
      </c>
      <c r="B110" s="3">
        <f>+D70</f>
        <v>2374650.92</v>
      </c>
      <c r="C110" s="86">
        <v>1.4500000000000001E-2</v>
      </c>
      <c r="D110" s="3">
        <f t="shared" si="8"/>
        <v>34432.438340000001</v>
      </c>
      <c r="F110" s="4"/>
      <c r="G110" s="4"/>
      <c r="H110" s="4"/>
      <c r="I110" s="4"/>
      <c r="J110" s="4"/>
      <c r="K110" s="3">
        <f t="shared" si="6"/>
        <v>0</v>
      </c>
    </row>
    <row r="111" spans="1:11" x14ac:dyDescent="0.2">
      <c r="A111" s="53" t="s">
        <v>966</v>
      </c>
      <c r="B111" s="3">
        <f>+D79</f>
        <v>225393.71107142858</v>
      </c>
      <c r="C111" s="86">
        <v>1.4500000000000001E-2</v>
      </c>
      <c r="D111" s="3">
        <f t="shared" si="8"/>
        <v>3268.2088105357147</v>
      </c>
      <c r="F111" s="4"/>
      <c r="G111" s="4"/>
      <c r="H111" s="4"/>
      <c r="I111" s="4"/>
      <c r="J111" s="4"/>
      <c r="K111" s="3">
        <f t="shared" si="6"/>
        <v>0</v>
      </c>
    </row>
    <row r="112" spans="1:11" x14ac:dyDescent="0.2">
      <c r="A112" s="53" t="s">
        <v>196</v>
      </c>
      <c r="B112" s="3">
        <f>+D94</f>
        <v>99668.2</v>
      </c>
      <c r="C112" s="86">
        <v>7.6499999999999999E-2</v>
      </c>
      <c r="D112" s="3">
        <f t="shared" si="8"/>
        <v>7624.6172999999999</v>
      </c>
      <c r="F112" s="4"/>
      <c r="G112" s="4"/>
      <c r="H112" s="4"/>
      <c r="I112" s="4"/>
      <c r="J112" s="4"/>
      <c r="K112" s="3">
        <f t="shared" si="6"/>
        <v>0</v>
      </c>
    </row>
    <row r="113" spans="1:11" ht="15" x14ac:dyDescent="0.35">
      <c r="A113" s="53" t="s">
        <v>197</v>
      </c>
      <c r="B113" s="3">
        <f>+D105</f>
        <v>492179.59083333332</v>
      </c>
      <c r="C113" s="86">
        <v>1.4500000000000001E-2</v>
      </c>
      <c r="D113" s="14">
        <f t="shared" si="8"/>
        <v>7136.6040670833336</v>
      </c>
      <c r="F113" s="4"/>
      <c r="G113" s="4"/>
      <c r="H113" s="4"/>
      <c r="I113" s="4"/>
      <c r="J113" s="4"/>
      <c r="K113" s="3">
        <f t="shared" si="6"/>
        <v>0</v>
      </c>
    </row>
    <row r="114" spans="1:11" x14ac:dyDescent="0.2">
      <c r="A114" s="53" t="s">
        <v>1320</v>
      </c>
      <c r="C114" s="86"/>
      <c r="D114" s="3">
        <f>SUM(D108:D113)</f>
        <v>72551.144057619051</v>
      </c>
      <c r="F114" s="4"/>
      <c r="G114" s="4"/>
      <c r="H114" s="4"/>
      <c r="I114" s="4"/>
      <c r="J114" s="4"/>
      <c r="K114" s="3">
        <f t="shared" si="6"/>
        <v>0</v>
      </c>
    </row>
    <row r="115" spans="1:11" x14ac:dyDescent="0.2">
      <c r="A115" s="53"/>
      <c r="C115" s="86"/>
      <c r="D115" s="21"/>
      <c r="F115" s="4"/>
      <c r="G115" s="4"/>
      <c r="H115" s="4"/>
      <c r="I115" s="4"/>
      <c r="J115" s="4"/>
      <c r="K115" s="3">
        <f t="shared" si="6"/>
        <v>0</v>
      </c>
    </row>
    <row r="116" spans="1:11" ht="13.5" x14ac:dyDescent="0.25">
      <c r="A116" s="88" t="s">
        <v>967</v>
      </c>
      <c r="C116" s="86"/>
      <c r="E116" s="3">
        <v>1305526</v>
      </c>
      <c r="F116" s="4">
        <v>1387967</v>
      </c>
      <c r="G116" s="4">
        <v>1284692</v>
      </c>
      <c r="H116" s="4">
        <v>1281900</v>
      </c>
      <c r="I116" s="4">
        <v>1285419</v>
      </c>
      <c r="J116" s="4"/>
      <c r="K116" s="3">
        <f t="shared" si="6"/>
        <v>-3519</v>
      </c>
    </row>
    <row r="117" spans="1:11" x14ac:dyDescent="0.2">
      <c r="A117" s="3" t="s">
        <v>965</v>
      </c>
      <c r="B117" s="3">
        <f>+B108</f>
        <v>50180</v>
      </c>
      <c r="C117" s="495">
        <v>0.1353</v>
      </c>
      <c r="D117" s="3">
        <f>+C117*B117</f>
        <v>6789.3540000000003</v>
      </c>
      <c r="F117" s="4"/>
      <c r="G117" s="4"/>
      <c r="H117" s="4"/>
      <c r="I117" s="4"/>
      <c r="J117" s="4"/>
      <c r="K117" s="3">
        <f t="shared" si="6"/>
        <v>0</v>
      </c>
    </row>
    <row r="118" spans="1:11" x14ac:dyDescent="0.2">
      <c r="A118" s="3" t="s">
        <v>968</v>
      </c>
      <c r="B118" s="3">
        <f>+B109</f>
        <v>1120724.52</v>
      </c>
      <c r="C118" s="86">
        <v>0.30349999999999999</v>
      </c>
      <c r="D118" s="3">
        <f>+C118*B118</f>
        <v>340139.89182000002</v>
      </c>
      <c r="F118" s="293"/>
      <c r="G118" s="293"/>
      <c r="H118" s="293"/>
      <c r="I118" s="293"/>
      <c r="J118" s="293"/>
      <c r="K118" s="3">
        <f t="shared" si="6"/>
        <v>0</v>
      </c>
    </row>
    <row r="119" spans="1:11" x14ac:dyDescent="0.2">
      <c r="A119" s="3" t="s">
        <v>969</v>
      </c>
      <c r="B119" s="3">
        <f>+B110</f>
        <v>2374650.92</v>
      </c>
      <c r="C119" s="86">
        <v>0.30349999999999999</v>
      </c>
      <c r="D119" s="3">
        <f>+C119*B119</f>
        <v>720706.55421999993</v>
      </c>
      <c r="F119" s="4"/>
      <c r="G119" s="4"/>
      <c r="H119" s="4"/>
      <c r="I119" s="4"/>
      <c r="J119" s="4"/>
      <c r="K119" s="3">
        <f t="shared" ref="K119:K150" si="9">+H119-I119</f>
        <v>0</v>
      </c>
    </row>
    <row r="120" spans="1:11" x14ac:dyDescent="0.2">
      <c r="A120" s="3" t="s">
        <v>970</v>
      </c>
      <c r="B120" s="3">
        <f>+B111</f>
        <v>225393.71107142858</v>
      </c>
      <c r="C120" s="86">
        <v>0.30349999999999999</v>
      </c>
      <c r="D120" s="3">
        <f>+C120*B120</f>
        <v>68406.991310178579</v>
      </c>
      <c r="F120" s="4"/>
      <c r="G120" s="4"/>
      <c r="H120" s="4"/>
      <c r="I120" s="4"/>
      <c r="J120" s="4"/>
      <c r="K120" s="3">
        <f t="shared" si="9"/>
        <v>0</v>
      </c>
    </row>
    <row r="121" spans="1:11" x14ac:dyDescent="0.2">
      <c r="A121" s="3" t="s">
        <v>552</v>
      </c>
      <c r="B121" s="3">
        <f>+B113</f>
        <v>492179.59083333332</v>
      </c>
      <c r="C121" s="86">
        <v>0.30349999999999999</v>
      </c>
      <c r="D121" s="21">
        <f>+C121*B121</f>
        <v>149376.50581791665</v>
      </c>
      <c r="F121" s="4"/>
      <c r="G121" s="4"/>
      <c r="H121" s="4"/>
      <c r="I121" s="4"/>
      <c r="J121" s="4"/>
      <c r="K121" s="3">
        <f t="shared" si="9"/>
        <v>0</v>
      </c>
    </row>
    <row r="122" spans="1:11" x14ac:dyDescent="0.2">
      <c r="A122" s="3" t="s">
        <v>1320</v>
      </c>
      <c r="C122" s="86"/>
      <c r="D122" s="3">
        <f>SUM(D117:D121)</f>
        <v>1285419.2971680951</v>
      </c>
      <c r="F122" s="4"/>
      <c r="G122" s="4"/>
      <c r="H122" s="4"/>
      <c r="I122" s="4"/>
      <c r="J122" s="4"/>
      <c r="K122" s="3">
        <f t="shared" si="9"/>
        <v>0</v>
      </c>
    </row>
    <row r="123" spans="1:11" x14ac:dyDescent="0.2">
      <c r="C123" s="86"/>
      <c r="F123" s="4"/>
      <c r="G123" s="4"/>
      <c r="H123" s="4"/>
      <c r="I123" s="4"/>
      <c r="J123" s="4"/>
      <c r="K123" s="3">
        <f t="shared" si="9"/>
        <v>0</v>
      </c>
    </row>
    <row r="124" spans="1:11" ht="13.5" x14ac:dyDescent="0.25">
      <c r="A124" s="55" t="s">
        <v>1053</v>
      </c>
      <c r="C124" s="86"/>
      <c r="E124" s="3">
        <v>806574</v>
      </c>
      <c r="F124" s="4">
        <v>927000</v>
      </c>
      <c r="G124" s="4">
        <v>988250</v>
      </c>
      <c r="H124" s="4">
        <v>988250</v>
      </c>
      <c r="I124" s="4">
        <v>988250</v>
      </c>
      <c r="J124" s="4"/>
      <c r="K124" s="3">
        <f t="shared" si="9"/>
        <v>0</v>
      </c>
    </row>
    <row r="125" spans="1:11" ht="12.6" hidden="1" customHeight="1" x14ac:dyDescent="0.2">
      <c r="A125" s="3" t="s">
        <v>1855</v>
      </c>
      <c r="B125" s="3">
        <f>32+4</f>
        <v>36</v>
      </c>
      <c r="C125" s="3">
        <v>20250</v>
      </c>
      <c r="D125" s="3">
        <f>+B125*C125-4000</f>
        <v>725000</v>
      </c>
      <c r="F125" s="4"/>
      <c r="G125" s="4"/>
      <c r="H125" s="4"/>
      <c r="I125" s="4"/>
      <c r="J125" s="4"/>
      <c r="K125" s="3">
        <f t="shared" si="9"/>
        <v>0</v>
      </c>
    </row>
    <row r="126" spans="1:11" ht="12.6" hidden="1" customHeight="1" x14ac:dyDescent="0.2">
      <c r="A126" s="3" t="s">
        <v>1856</v>
      </c>
      <c r="B126" s="3">
        <v>9</v>
      </c>
      <c r="C126" s="3">
        <v>20250</v>
      </c>
      <c r="D126" s="3">
        <f>+B126*C126</f>
        <v>182250</v>
      </c>
      <c r="F126" s="4"/>
      <c r="G126" s="4"/>
      <c r="H126" s="4"/>
      <c r="I126" s="4"/>
      <c r="J126" s="4"/>
      <c r="K126" s="3">
        <f t="shared" si="9"/>
        <v>0</v>
      </c>
    </row>
    <row r="127" spans="1:11" ht="12.6" hidden="1" customHeight="1" x14ac:dyDescent="0.35">
      <c r="A127" s="3" t="s">
        <v>323</v>
      </c>
      <c r="B127" s="3">
        <v>4</v>
      </c>
      <c r="C127" s="3">
        <v>20250</v>
      </c>
      <c r="D127" s="14">
        <f>+B127*C127</f>
        <v>81000</v>
      </c>
      <c r="F127" s="4"/>
      <c r="G127" s="4"/>
      <c r="H127" s="4"/>
      <c r="I127" s="4"/>
      <c r="J127" s="4"/>
      <c r="K127" s="3">
        <f t="shared" si="9"/>
        <v>0</v>
      </c>
    </row>
    <row r="128" spans="1:11" ht="12.75" hidden="1" customHeight="1" x14ac:dyDescent="0.2">
      <c r="A128" s="3" t="s">
        <v>877</v>
      </c>
      <c r="D128" s="3">
        <f>SUM(D125:D127)</f>
        <v>988250</v>
      </c>
      <c r="F128" s="4"/>
      <c r="G128" s="4"/>
      <c r="H128" s="4"/>
      <c r="I128" s="4"/>
      <c r="J128" s="4"/>
      <c r="K128" s="3">
        <f t="shared" si="9"/>
        <v>0</v>
      </c>
    </row>
    <row r="129" spans="1:11" ht="12.6" customHeight="1" x14ac:dyDescent="0.2">
      <c r="F129" s="4"/>
      <c r="G129" s="4"/>
      <c r="H129" s="4"/>
      <c r="I129" s="4"/>
      <c r="J129" s="4"/>
      <c r="K129" s="3">
        <f t="shared" si="9"/>
        <v>0</v>
      </c>
    </row>
    <row r="130" spans="1:11" ht="12.6" customHeight="1" x14ac:dyDescent="0.25">
      <c r="A130" s="55" t="s">
        <v>1054</v>
      </c>
      <c r="E130" s="3">
        <v>47411</v>
      </c>
      <c r="F130" s="4">
        <v>62288</v>
      </c>
      <c r="G130" s="4">
        <v>62288</v>
      </c>
      <c r="H130" s="4">
        <v>62288</v>
      </c>
      <c r="I130" s="4">
        <v>62288</v>
      </c>
      <c r="J130" s="4"/>
      <c r="K130" s="3">
        <f t="shared" si="9"/>
        <v>0</v>
      </c>
    </row>
    <row r="131" spans="1:11" ht="12.6" hidden="1" customHeight="1" x14ac:dyDescent="0.2">
      <c r="A131" s="3" t="s">
        <v>322</v>
      </c>
      <c r="B131" s="3">
        <f>41+4</f>
        <v>45</v>
      </c>
      <c r="C131" s="3">
        <v>1375</v>
      </c>
      <c r="D131" s="3">
        <f>+B131*C131</f>
        <v>61875</v>
      </c>
      <c r="F131" s="4"/>
      <c r="G131" s="4"/>
      <c r="H131" s="4"/>
      <c r="I131" s="4"/>
      <c r="J131" s="4"/>
      <c r="K131" s="3">
        <f t="shared" si="9"/>
        <v>0</v>
      </c>
    </row>
    <row r="132" spans="1:11" ht="12.6" hidden="1" customHeight="1" x14ac:dyDescent="0.2">
      <c r="A132" s="3" t="s">
        <v>323</v>
      </c>
      <c r="B132" s="3">
        <v>4</v>
      </c>
      <c r="C132" s="3">
        <v>1375</v>
      </c>
      <c r="D132" s="3">
        <f>+B132*C132</f>
        <v>5500</v>
      </c>
      <c r="F132" s="4"/>
      <c r="G132" s="4"/>
      <c r="H132" s="4"/>
      <c r="I132" s="4"/>
      <c r="J132" s="4"/>
      <c r="K132" s="3">
        <f t="shared" si="9"/>
        <v>0</v>
      </c>
    </row>
    <row r="133" spans="1:11" ht="12.6" hidden="1" customHeight="1" x14ac:dyDescent="0.2">
      <c r="A133" s="3" t="s">
        <v>243</v>
      </c>
      <c r="D133" s="21">
        <f>+C132*-0.1*37</f>
        <v>-5087.5</v>
      </c>
      <c r="F133" s="4"/>
      <c r="G133" s="4"/>
      <c r="H133" s="4"/>
      <c r="I133" s="4"/>
      <c r="J133" s="4"/>
      <c r="K133" s="3">
        <f t="shared" si="9"/>
        <v>0</v>
      </c>
    </row>
    <row r="134" spans="1:11" ht="12.6" hidden="1" customHeight="1" x14ac:dyDescent="0.2">
      <c r="A134" s="491" t="s">
        <v>877</v>
      </c>
      <c r="D134" s="3">
        <f>SUM(D131:D133)</f>
        <v>62287.5</v>
      </c>
      <c r="F134" s="4"/>
      <c r="G134" s="4"/>
      <c r="H134" s="4"/>
      <c r="I134" s="4"/>
      <c r="J134" s="4"/>
      <c r="K134" s="3">
        <f t="shared" si="9"/>
        <v>0</v>
      </c>
    </row>
    <row r="135" spans="1:11" x14ac:dyDescent="0.2">
      <c r="F135" s="4"/>
      <c r="G135" s="4"/>
      <c r="H135" s="4"/>
      <c r="I135" s="4"/>
      <c r="J135" s="4"/>
      <c r="K135" s="3">
        <f t="shared" si="9"/>
        <v>0</v>
      </c>
    </row>
    <row r="136" spans="1:11" ht="13.5" x14ac:dyDescent="0.25">
      <c r="A136" s="55" t="s">
        <v>1055</v>
      </c>
      <c r="E136" s="3">
        <v>3252</v>
      </c>
      <c r="F136" s="4">
        <v>3015</v>
      </c>
      <c r="G136" s="4">
        <v>3145</v>
      </c>
      <c r="H136" s="4">
        <v>3145</v>
      </c>
      <c r="I136" s="4">
        <v>3145</v>
      </c>
      <c r="J136" s="4"/>
      <c r="K136" s="3">
        <f t="shared" si="9"/>
        <v>0</v>
      </c>
    </row>
    <row r="137" spans="1:11" hidden="1" x14ac:dyDescent="0.2">
      <c r="A137" s="3" t="s">
        <v>239</v>
      </c>
      <c r="B137" s="3">
        <v>4</v>
      </c>
      <c r="C137" s="3">
        <v>145</v>
      </c>
      <c r="D137" s="3">
        <f>+C137*B137</f>
        <v>580</v>
      </c>
      <c r="F137" s="4"/>
      <c r="G137" s="4"/>
      <c r="H137" s="4"/>
      <c r="I137" s="4"/>
      <c r="J137" s="4"/>
      <c r="K137" s="3">
        <f t="shared" si="9"/>
        <v>0</v>
      </c>
    </row>
    <row r="138" spans="1:11" hidden="1" x14ac:dyDescent="0.2">
      <c r="A138" s="3" t="s">
        <v>1810</v>
      </c>
      <c r="B138" s="3">
        <v>9</v>
      </c>
      <c r="C138" s="3">
        <v>145</v>
      </c>
      <c r="D138" s="3">
        <f>+C138*B138</f>
        <v>1305</v>
      </c>
      <c r="F138" s="4"/>
      <c r="G138" s="4"/>
      <c r="H138" s="4"/>
      <c r="I138" s="4"/>
      <c r="J138" s="4"/>
      <c r="K138" s="3">
        <f t="shared" si="9"/>
        <v>0</v>
      </c>
    </row>
    <row r="139" spans="1:11" ht="15" hidden="1" x14ac:dyDescent="0.35">
      <c r="A139" s="3" t="s">
        <v>2145</v>
      </c>
      <c r="B139" s="3">
        <f>32+4</f>
        <v>36</v>
      </c>
      <c r="C139" s="3">
        <v>35</v>
      </c>
      <c r="D139" s="14">
        <f>+B139*C139</f>
        <v>1260</v>
      </c>
      <c r="F139" s="4"/>
      <c r="G139" s="4"/>
      <c r="H139" s="4"/>
      <c r="I139" s="4"/>
      <c r="J139" s="4"/>
      <c r="K139" s="3">
        <f t="shared" si="9"/>
        <v>0</v>
      </c>
    </row>
    <row r="140" spans="1:11" hidden="1" x14ac:dyDescent="0.2">
      <c r="A140" s="3" t="s">
        <v>1320</v>
      </c>
      <c r="D140" s="3">
        <f>SUM(D137:D139)</f>
        <v>3145</v>
      </c>
      <c r="F140" s="4"/>
      <c r="G140" s="4"/>
      <c r="H140" s="4"/>
      <c r="I140" s="4"/>
      <c r="J140" s="4"/>
      <c r="K140" s="3">
        <f t="shared" si="9"/>
        <v>0</v>
      </c>
    </row>
    <row r="141" spans="1:11" x14ac:dyDescent="0.2">
      <c r="F141" s="4"/>
      <c r="G141" s="4"/>
      <c r="H141" s="4"/>
      <c r="I141" s="4"/>
      <c r="J141" s="4"/>
      <c r="K141" s="3">
        <f t="shared" si="9"/>
        <v>0</v>
      </c>
    </row>
    <row r="142" spans="1:11" ht="13.5" x14ac:dyDescent="0.25">
      <c r="A142" s="55" t="s">
        <v>222</v>
      </c>
      <c r="E142" s="3">
        <v>23823</v>
      </c>
      <c r="F142" s="4">
        <v>25725</v>
      </c>
      <c r="G142" s="4">
        <v>27685</v>
      </c>
      <c r="H142" s="4">
        <v>27685</v>
      </c>
      <c r="I142" s="4">
        <v>27685</v>
      </c>
      <c r="J142" s="4"/>
      <c r="K142" s="3">
        <f t="shared" si="9"/>
        <v>0</v>
      </c>
    </row>
    <row r="143" spans="1:11" hidden="1" x14ac:dyDescent="0.2">
      <c r="A143" s="3" t="s">
        <v>239</v>
      </c>
      <c r="B143" s="3">
        <v>4</v>
      </c>
      <c r="C143" s="3">
        <v>565</v>
      </c>
      <c r="D143" s="3">
        <f>+C143*B143</f>
        <v>2260</v>
      </c>
      <c r="F143" s="4"/>
      <c r="G143" s="4"/>
      <c r="H143" s="4"/>
      <c r="I143" s="4"/>
      <c r="J143" s="4"/>
      <c r="K143" s="3">
        <f t="shared" si="9"/>
        <v>0</v>
      </c>
    </row>
    <row r="144" spans="1:11" ht="15" hidden="1" x14ac:dyDescent="0.35">
      <c r="A144" s="3" t="s">
        <v>1479</v>
      </c>
      <c r="B144" s="3">
        <f>41+4</f>
        <v>45</v>
      </c>
      <c r="C144" s="3">
        <v>565</v>
      </c>
      <c r="D144" s="14">
        <f>+C144*B144</f>
        <v>25425</v>
      </c>
      <c r="F144" s="4"/>
      <c r="G144" s="4"/>
      <c r="H144" s="4"/>
      <c r="I144" s="4"/>
      <c r="J144" s="4"/>
      <c r="K144" s="3">
        <f t="shared" si="9"/>
        <v>0</v>
      </c>
    </row>
    <row r="145" spans="1:11" hidden="1" x14ac:dyDescent="0.2">
      <c r="A145" s="3" t="s">
        <v>1320</v>
      </c>
      <c r="D145" s="3">
        <f>SUM(D143:D144)</f>
        <v>27685</v>
      </c>
      <c r="F145" s="4"/>
      <c r="G145" s="4"/>
      <c r="H145" s="4"/>
      <c r="I145" s="4"/>
      <c r="J145" s="4"/>
      <c r="K145" s="3">
        <f t="shared" si="9"/>
        <v>0</v>
      </c>
    </row>
    <row r="146" spans="1:11" x14ac:dyDescent="0.2">
      <c r="F146" s="4"/>
      <c r="G146" s="4"/>
      <c r="H146" s="4"/>
      <c r="I146" s="4"/>
      <c r="J146" s="4"/>
      <c r="K146" s="3">
        <f t="shared" si="9"/>
        <v>0</v>
      </c>
    </row>
    <row r="147" spans="1:11" ht="13.5" x14ac:dyDescent="0.25">
      <c r="A147" s="55" t="s">
        <v>308</v>
      </c>
      <c r="E147" s="3">
        <v>228725</v>
      </c>
      <c r="F147" s="4">
        <v>276218</v>
      </c>
      <c r="G147" s="4">
        <v>252974</v>
      </c>
      <c r="H147" s="4">
        <v>252434</v>
      </c>
      <c r="I147" s="4">
        <v>253153</v>
      </c>
      <c r="J147" s="4"/>
      <c r="K147" s="3">
        <f t="shared" si="9"/>
        <v>-719</v>
      </c>
    </row>
    <row r="148" spans="1:11" x14ac:dyDescent="0.2">
      <c r="A148" s="53" t="s">
        <v>965</v>
      </c>
      <c r="B148" s="3">
        <f>+D9</f>
        <v>50180</v>
      </c>
      <c r="C148" s="17">
        <v>1.89E-3</v>
      </c>
      <c r="D148" s="3">
        <f t="shared" ref="D148:D153" si="10">+C148*B148</f>
        <v>94.840199999999996</v>
      </c>
      <c r="F148" s="4"/>
      <c r="G148" s="4"/>
      <c r="H148" s="4"/>
      <c r="I148" s="4"/>
      <c r="J148" s="4"/>
      <c r="K148" s="3">
        <f t="shared" si="9"/>
        <v>0</v>
      </c>
    </row>
    <row r="149" spans="1:11" x14ac:dyDescent="0.2">
      <c r="A149" s="53" t="s">
        <v>1536</v>
      </c>
      <c r="B149" s="3">
        <f>+D28</f>
        <v>1120724.52</v>
      </c>
      <c r="C149" s="17">
        <v>5.8680000000000003E-2</v>
      </c>
      <c r="D149" s="3">
        <f t="shared" si="10"/>
        <v>65764.114833600004</v>
      </c>
      <c r="F149" s="4"/>
      <c r="G149" s="4"/>
      <c r="H149" s="4"/>
      <c r="I149" s="4"/>
      <c r="J149" s="4"/>
      <c r="K149" s="3">
        <f t="shared" si="9"/>
        <v>0</v>
      </c>
    </row>
    <row r="150" spans="1:11" x14ac:dyDescent="0.2">
      <c r="A150" s="53" t="s">
        <v>883</v>
      </c>
      <c r="B150" s="3">
        <f>+D70</f>
        <v>2374650.92</v>
      </c>
      <c r="C150" s="17">
        <v>5.8680000000000003E-2</v>
      </c>
      <c r="D150" s="3">
        <f t="shared" si="10"/>
        <v>139344.51598560001</v>
      </c>
      <c r="F150" s="4"/>
      <c r="G150" s="4"/>
      <c r="H150" s="4"/>
      <c r="I150" s="4"/>
      <c r="J150" s="4"/>
      <c r="K150" s="3">
        <f t="shared" si="9"/>
        <v>0</v>
      </c>
    </row>
    <row r="151" spans="1:11" x14ac:dyDescent="0.2">
      <c r="A151" s="53" t="s">
        <v>1925</v>
      </c>
      <c r="B151" s="3">
        <f>+B120</f>
        <v>225393.71107142858</v>
      </c>
      <c r="C151" s="17">
        <v>5.8680000000000003E-2</v>
      </c>
      <c r="D151" s="3">
        <f t="shared" si="10"/>
        <v>13226.102965671429</v>
      </c>
      <c r="F151" s="4"/>
      <c r="G151" s="4"/>
      <c r="H151" s="4"/>
      <c r="I151" s="4"/>
      <c r="J151" s="4"/>
      <c r="K151" s="3">
        <f t="shared" ref="K151:K163" si="11">+H151-I151</f>
        <v>0</v>
      </c>
    </row>
    <row r="152" spans="1:11" x14ac:dyDescent="0.2">
      <c r="A152" s="53" t="s">
        <v>196</v>
      </c>
      <c r="B152" s="3">
        <f>+D94</f>
        <v>99668.2</v>
      </c>
      <c r="C152" s="17">
        <v>5.8680000000000003E-2</v>
      </c>
      <c r="D152" s="3">
        <f t="shared" si="10"/>
        <v>5848.5299759999998</v>
      </c>
      <c r="F152" s="4"/>
      <c r="G152" s="4"/>
      <c r="H152" s="4"/>
      <c r="I152" s="4"/>
      <c r="J152" s="4"/>
      <c r="K152" s="3">
        <f t="shared" si="11"/>
        <v>0</v>
      </c>
    </row>
    <row r="153" spans="1:11" ht="15" x14ac:dyDescent="0.35">
      <c r="A153" s="53" t="s">
        <v>1926</v>
      </c>
      <c r="B153" s="3">
        <f>+B121</f>
        <v>492179.59083333332</v>
      </c>
      <c r="C153" s="17">
        <v>5.8680000000000003E-2</v>
      </c>
      <c r="D153" s="14">
        <f t="shared" si="10"/>
        <v>28881.0983901</v>
      </c>
      <c r="F153" s="4"/>
      <c r="G153" s="4"/>
      <c r="H153" s="4"/>
      <c r="I153" s="4"/>
      <c r="J153" s="4"/>
      <c r="K153" s="3">
        <f t="shared" si="11"/>
        <v>0</v>
      </c>
    </row>
    <row r="154" spans="1:11" x14ac:dyDescent="0.2">
      <c r="A154" s="3" t="s">
        <v>1320</v>
      </c>
      <c r="C154" s="17"/>
      <c r="D154" s="3">
        <f>SUM(D148:D153)-6</f>
        <v>253153.20235097143</v>
      </c>
      <c r="F154" s="4"/>
      <c r="G154" s="4"/>
      <c r="H154" s="4"/>
      <c r="I154" s="4"/>
      <c r="J154" s="4"/>
      <c r="K154" s="3">
        <f t="shared" si="11"/>
        <v>0</v>
      </c>
    </row>
    <row r="155" spans="1:11" x14ac:dyDescent="0.2">
      <c r="F155" s="4"/>
      <c r="G155" s="4"/>
      <c r="H155" s="4"/>
      <c r="I155" s="4"/>
      <c r="J155" s="4"/>
      <c r="K155" s="3">
        <f t="shared" si="11"/>
        <v>0</v>
      </c>
    </row>
    <row r="156" spans="1:11" ht="13.5" x14ac:dyDescent="0.25">
      <c r="A156" s="55" t="s">
        <v>139</v>
      </c>
      <c r="E156" s="3">
        <v>792</v>
      </c>
      <c r="F156" s="4">
        <v>1200</v>
      </c>
      <c r="G156" s="4">
        <v>1196</v>
      </c>
      <c r="H156" s="4">
        <v>1196</v>
      </c>
      <c r="I156" s="4">
        <v>1198</v>
      </c>
      <c r="J156" s="4"/>
      <c r="K156" s="3">
        <f t="shared" si="11"/>
        <v>-2</v>
      </c>
    </row>
    <row r="157" spans="1:11" x14ac:dyDescent="0.2">
      <c r="A157" s="53" t="s">
        <v>355</v>
      </c>
      <c r="B157" s="3">
        <v>1</v>
      </c>
      <c r="C157" s="3">
        <v>20</v>
      </c>
      <c r="D157" s="3">
        <f>ROUND(B157*C157,0)</f>
        <v>20</v>
      </c>
      <c r="F157" s="4"/>
      <c r="G157" s="4"/>
      <c r="H157" s="4"/>
      <c r="I157" s="4"/>
      <c r="J157" s="4"/>
      <c r="K157" s="3">
        <f t="shared" si="11"/>
        <v>0</v>
      </c>
    </row>
    <row r="158" spans="1:11" x14ac:dyDescent="0.2">
      <c r="A158" s="53" t="s">
        <v>356</v>
      </c>
      <c r="B158" s="3">
        <v>12</v>
      </c>
      <c r="C158" s="3">
        <v>20</v>
      </c>
      <c r="D158" s="3">
        <f t="shared" ref="D158:D163" si="12">ROUND(B158*C158,0)</f>
        <v>240</v>
      </c>
      <c r="F158" s="4"/>
      <c r="G158" s="4"/>
      <c r="H158" s="4"/>
      <c r="I158" s="4"/>
      <c r="J158" s="4"/>
      <c r="K158" s="3">
        <f t="shared" si="11"/>
        <v>0</v>
      </c>
    </row>
    <row r="159" spans="1:11" x14ac:dyDescent="0.2">
      <c r="A159" s="53" t="s">
        <v>357</v>
      </c>
      <c r="B159" s="3">
        <f>32+4</f>
        <v>36</v>
      </c>
      <c r="C159" s="3">
        <v>20</v>
      </c>
      <c r="D159" s="3">
        <f t="shared" si="12"/>
        <v>720</v>
      </c>
      <c r="F159" s="4"/>
      <c r="G159" s="4"/>
      <c r="H159" s="4"/>
      <c r="I159" s="4"/>
      <c r="J159" s="4"/>
      <c r="K159" s="3">
        <f t="shared" si="11"/>
        <v>0</v>
      </c>
    </row>
    <row r="160" spans="1:11" x14ac:dyDescent="0.2">
      <c r="A160" s="3" t="s">
        <v>358</v>
      </c>
      <c r="B160" s="3">
        <v>2</v>
      </c>
      <c r="C160" s="3">
        <v>20</v>
      </c>
      <c r="D160" s="3">
        <f t="shared" si="12"/>
        <v>40</v>
      </c>
      <c r="F160" s="4"/>
      <c r="G160" s="4"/>
      <c r="H160" s="4"/>
      <c r="I160" s="4"/>
      <c r="J160" s="4"/>
      <c r="K160" s="3">
        <f t="shared" si="11"/>
        <v>0</v>
      </c>
    </row>
    <row r="161" spans="1:11" x14ac:dyDescent="0.2">
      <c r="A161" s="3" t="s">
        <v>915</v>
      </c>
      <c r="B161" s="3">
        <v>1</v>
      </c>
      <c r="C161" s="3">
        <v>20</v>
      </c>
      <c r="D161" s="3">
        <f t="shared" si="12"/>
        <v>20</v>
      </c>
      <c r="F161" s="4"/>
      <c r="G161" s="4"/>
      <c r="H161" s="4"/>
      <c r="I161" s="4"/>
      <c r="J161" s="4"/>
      <c r="K161" s="3">
        <f t="shared" si="11"/>
        <v>0</v>
      </c>
    </row>
    <row r="162" spans="1:11" x14ac:dyDescent="0.2">
      <c r="A162" s="53" t="s">
        <v>95</v>
      </c>
      <c r="B162" s="3">
        <v>1</v>
      </c>
      <c r="C162" s="3">
        <v>20</v>
      </c>
      <c r="D162" s="3">
        <f t="shared" si="12"/>
        <v>20</v>
      </c>
      <c r="F162" s="4"/>
      <c r="G162" s="4"/>
      <c r="H162" s="4"/>
      <c r="I162" s="4"/>
      <c r="J162" s="4"/>
      <c r="K162" s="3">
        <f t="shared" si="11"/>
        <v>0</v>
      </c>
    </row>
    <row r="163" spans="1:11" ht="15" x14ac:dyDescent="0.35">
      <c r="A163" s="53" t="s">
        <v>1579</v>
      </c>
      <c r="B163" s="3">
        <f>+D94-D91</f>
        <v>98498.2</v>
      </c>
      <c r="C163" s="17">
        <v>1.4E-3</v>
      </c>
      <c r="D163" s="14">
        <f t="shared" si="12"/>
        <v>138</v>
      </c>
      <c r="F163" s="4"/>
      <c r="G163" s="4"/>
      <c r="H163" s="4"/>
      <c r="I163" s="4"/>
      <c r="J163" s="4"/>
      <c r="K163" s="3">
        <f t="shared" si="11"/>
        <v>0</v>
      </c>
    </row>
    <row r="164" spans="1:11" x14ac:dyDescent="0.2">
      <c r="A164" s="3" t="s">
        <v>1320</v>
      </c>
      <c r="D164" s="3">
        <f>SUM(D157:D163)</f>
        <v>1198</v>
      </c>
      <c r="F164" s="4"/>
      <c r="G164" s="4"/>
      <c r="H164" s="4"/>
      <c r="I164" s="4"/>
      <c r="J164" s="4"/>
    </row>
    <row r="165" spans="1:11" ht="12.6" customHeight="1" x14ac:dyDescent="0.2">
      <c r="F165" s="4"/>
      <c r="G165" s="4"/>
      <c r="H165" s="4"/>
      <c r="I165" s="4"/>
      <c r="J165" s="4"/>
    </row>
    <row r="166" spans="1:11" x14ac:dyDescent="0.2">
      <c r="B166" s="198"/>
    </row>
    <row r="167" spans="1:11" ht="13.5" x14ac:dyDescent="0.25">
      <c r="A167" s="55" t="s">
        <v>1580</v>
      </c>
      <c r="E167" s="3">
        <v>3929</v>
      </c>
      <c r="F167" s="4">
        <v>5300</v>
      </c>
      <c r="G167" s="4">
        <v>5300</v>
      </c>
      <c r="H167" s="4">
        <v>5300</v>
      </c>
      <c r="I167" s="4">
        <v>5300</v>
      </c>
      <c r="J167" s="4"/>
    </row>
    <row r="168" spans="1:11" x14ac:dyDescent="0.2">
      <c r="A168" s="3" t="s">
        <v>2215</v>
      </c>
      <c r="D168" s="3">
        <v>4500</v>
      </c>
      <c r="F168" s="4"/>
      <c r="G168" s="4"/>
      <c r="H168" s="4"/>
      <c r="I168" s="4"/>
      <c r="J168" s="4"/>
    </row>
    <row r="169" spans="1:11" ht="15" x14ac:dyDescent="0.35">
      <c r="A169" s="3" t="s">
        <v>2216</v>
      </c>
      <c r="D169" s="14">
        <v>800</v>
      </c>
      <c r="F169" s="4"/>
      <c r="G169" s="4"/>
      <c r="H169" s="4"/>
      <c r="I169" s="4"/>
      <c r="J169" s="4"/>
    </row>
    <row r="170" spans="1:11" x14ac:dyDescent="0.2">
      <c r="A170" s="28" t="s">
        <v>1320</v>
      </c>
      <c r="D170" s="3">
        <f>SUM(D168:D169)</f>
        <v>5300</v>
      </c>
      <c r="F170" s="4"/>
      <c r="G170" s="4"/>
      <c r="H170" s="4"/>
      <c r="I170" s="4"/>
      <c r="J170" s="4"/>
    </row>
    <row r="171" spans="1:11" x14ac:dyDescent="0.2">
      <c r="F171" s="4"/>
      <c r="G171" s="4"/>
      <c r="H171" s="4"/>
      <c r="I171" s="4"/>
      <c r="J171" s="4"/>
    </row>
    <row r="172" spans="1:11" ht="13.5" x14ac:dyDescent="0.25">
      <c r="A172" s="55" t="s">
        <v>1495</v>
      </c>
      <c r="E172" s="3">
        <v>5906</v>
      </c>
      <c r="F172" s="4">
        <v>6800</v>
      </c>
      <c r="G172" s="501">
        <v>7300</v>
      </c>
      <c r="H172" s="501">
        <v>7300</v>
      </c>
      <c r="I172" s="501">
        <v>7300</v>
      </c>
      <c r="J172" s="501"/>
    </row>
    <row r="173" spans="1:11" x14ac:dyDescent="0.2">
      <c r="A173" s="3" t="s">
        <v>2217</v>
      </c>
      <c r="D173" s="3">
        <v>1950</v>
      </c>
      <c r="F173" s="4"/>
      <c r="G173" s="4"/>
      <c r="H173" s="437"/>
      <c r="I173" s="437"/>
      <c r="J173" s="437"/>
    </row>
    <row r="174" spans="1:11" ht="15" x14ac:dyDescent="0.35">
      <c r="A174" s="498" t="s">
        <v>2495</v>
      </c>
      <c r="D174" s="499">
        <v>5350</v>
      </c>
      <c r="F174" s="4"/>
      <c r="G174" s="4"/>
      <c r="H174" s="437"/>
      <c r="I174" s="437"/>
      <c r="J174" s="437"/>
    </row>
    <row r="175" spans="1:11" x14ac:dyDescent="0.2">
      <c r="A175" s="498" t="s">
        <v>1320</v>
      </c>
      <c r="D175" s="500">
        <f>SUM(D173:D174)</f>
        <v>7300</v>
      </c>
      <c r="F175" s="4"/>
      <c r="G175" s="4"/>
      <c r="H175" s="437"/>
      <c r="I175" s="437"/>
      <c r="J175" s="437"/>
    </row>
    <row r="176" spans="1:11" x14ac:dyDescent="0.2">
      <c r="A176" s="420"/>
      <c r="D176" s="421"/>
      <c r="F176" s="4"/>
      <c r="G176" s="4"/>
      <c r="H176" s="4"/>
      <c r="I176" s="4"/>
      <c r="J176" s="4"/>
    </row>
    <row r="177" spans="1:10" ht="15" x14ac:dyDescent="0.35">
      <c r="A177" s="55" t="s">
        <v>233</v>
      </c>
      <c r="D177" s="14"/>
      <c r="E177" s="3">
        <v>39454</v>
      </c>
      <c r="F177" s="4">
        <v>41590</v>
      </c>
      <c r="G177" s="4">
        <v>45436</v>
      </c>
      <c r="H177" s="4">
        <v>45436</v>
      </c>
      <c r="I177" s="4">
        <v>45436</v>
      </c>
      <c r="J177" s="4"/>
    </row>
    <row r="178" spans="1:10" x14ac:dyDescent="0.2">
      <c r="A178" s="3" t="s">
        <v>1583</v>
      </c>
      <c r="B178" s="3">
        <v>14</v>
      </c>
      <c r="C178" s="3">
        <v>1550</v>
      </c>
      <c r="D178" s="3">
        <f t="shared" ref="D178:D185" si="13">C178*B178</f>
        <v>21700</v>
      </c>
      <c r="E178" s="1"/>
      <c r="F178" s="437"/>
      <c r="G178" s="437"/>
      <c r="H178" s="437"/>
      <c r="I178" s="437"/>
      <c r="J178" s="437"/>
    </row>
    <row r="179" spans="1:10" x14ac:dyDescent="0.2">
      <c r="A179" s="341" t="s">
        <v>2053</v>
      </c>
      <c r="B179" s="341">
        <v>18</v>
      </c>
      <c r="C179" s="341">
        <v>270</v>
      </c>
      <c r="D179" s="341">
        <f t="shared" si="13"/>
        <v>4860</v>
      </c>
      <c r="E179" s="1"/>
      <c r="F179" s="437"/>
      <c r="G179" s="496"/>
      <c r="H179" s="496"/>
      <c r="I179" s="496"/>
      <c r="J179" s="496"/>
    </row>
    <row r="180" spans="1:10" x14ac:dyDescent="0.2">
      <c r="A180" s="341" t="s">
        <v>1828</v>
      </c>
      <c r="B180" s="341">
        <v>26</v>
      </c>
      <c r="C180" s="341">
        <v>131</v>
      </c>
      <c r="D180" s="341">
        <f t="shared" si="13"/>
        <v>3406</v>
      </c>
      <c r="E180" s="1"/>
      <c r="F180" s="437"/>
      <c r="G180" s="437"/>
      <c r="H180" s="437"/>
      <c r="I180" s="437"/>
      <c r="J180" s="437"/>
    </row>
    <row r="181" spans="1:10" x14ac:dyDescent="0.2">
      <c r="A181" s="341" t="s">
        <v>1829</v>
      </c>
      <c r="B181" s="341">
        <v>10</v>
      </c>
      <c r="C181" s="341">
        <v>440</v>
      </c>
      <c r="D181" s="341">
        <f t="shared" si="13"/>
        <v>4400</v>
      </c>
      <c r="F181" s="437"/>
      <c r="G181" s="437"/>
      <c r="H181" s="437"/>
      <c r="I181" s="437"/>
      <c r="J181" s="437"/>
    </row>
    <row r="182" spans="1:10" x14ac:dyDescent="0.2">
      <c r="A182" s="3" t="s">
        <v>1677</v>
      </c>
      <c r="B182" s="3">
        <v>1</v>
      </c>
      <c r="C182" s="3">
        <v>600</v>
      </c>
      <c r="D182" s="341">
        <f t="shared" si="13"/>
        <v>600</v>
      </c>
      <c r="E182" s="1"/>
      <c r="F182" s="437"/>
      <c r="G182" s="437"/>
      <c r="H182" s="437"/>
      <c r="I182" s="437"/>
      <c r="J182" s="437"/>
    </row>
    <row r="183" spans="1:10" x14ac:dyDescent="0.2">
      <c r="A183" s="3" t="s">
        <v>2054</v>
      </c>
      <c r="B183" s="3">
        <v>1</v>
      </c>
      <c r="C183" s="3">
        <v>770</v>
      </c>
      <c r="D183" s="341">
        <f t="shared" si="13"/>
        <v>770</v>
      </c>
      <c r="E183" s="1"/>
      <c r="F183" s="437"/>
      <c r="G183" s="437"/>
      <c r="H183" s="437"/>
      <c r="I183" s="437"/>
      <c r="J183" s="437"/>
    </row>
    <row r="184" spans="1:10" x14ac:dyDescent="0.2">
      <c r="A184" s="3" t="s">
        <v>1938</v>
      </c>
      <c r="B184" s="3">
        <v>10</v>
      </c>
      <c r="C184" s="3">
        <v>90</v>
      </c>
      <c r="D184" s="341">
        <f t="shared" si="13"/>
        <v>900</v>
      </c>
      <c r="E184" s="1"/>
      <c r="F184" s="437"/>
      <c r="G184" s="437"/>
      <c r="H184" s="437"/>
      <c r="I184" s="437"/>
      <c r="J184" s="437"/>
    </row>
    <row r="185" spans="1:10" x14ac:dyDescent="0.2">
      <c r="A185" s="3" t="s">
        <v>1990</v>
      </c>
      <c r="B185" s="3">
        <v>2</v>
      </c>
      <c r="C185" s="3">
        <v>450</v>
      </c>
      <c r="D185" s="341">
        <f t="shared" si="13"/>
        <v>900</v>
      </c>
      <c r="E185" s="1"/>
      <c r="F185" s="437"/>
      <c r="G185" s="437"/>
      <c r="H185" s="437"/>
      <c r="I185" s="437"/>
      <c r="J185" s="437"/>
    </row>
    <row r="186" spans="1:10" x14ac:dyDescent="0.2">
      <c r="A186" s="3" t="s">
        <v>1584</v>
      </c>
      <c r="D186" s="3">
        <v>5700</v>
      </c>
      <c r="E186" s="1"/>
      <c r="F186" s="437"/>
      <c r="G186" s="437"/>
      <c r="H186" s="437"/>
      <c r="I186" s="437"/>
      <c r="J186" s="437"/>
    </row>
    <row r="187" spans="1:10" ht="15" x14ac:dyDescent="0.35">
      <c r="A187" s="3" t="s">
        <v>2218</v>
      </c>
      <c r="C187" s="14"/>
      <c r="D187" s="37">
        <v>2200</v>
      </c>
      <c r="E187" s="1"/>
      <c r="F187" s="437"/>
      <c r="G187" s="437"/>
      <c r="H187" s="437"/>
      <c r="I187" s="437"/>
      <c r="J187" s="437"/>
    </row>
    <row r="188" spans="1:10" x14ac:dyDescent="0.2">
      <c r="A188" s="28" t="s">
        <v>1320</v>
      </c>
      <c r="D188" s="3">
        <f>SUM(D178:D187)</f>
        <v>45436</v>
      </c>
      <c r="F188" s="4"/>
      <c r="G188" s="4"/>
      <c r="H188" s="4"/>
      <c r="I188" s="4"/>
      <c r="J188" s="4"/>
    </row>
    <row r="189" spans="1:10" x14ac:dyDescent="0.2">
      <c r="F189" s="4"/>
      <c r="G189" s="4"/>
      <c r="H189" s="4"/>
      <c r="I189" s="4"/>
      <c r="J189" s="4"/>
    </row>
    <row r="190" spans="1:10" ht="13.5" x14ac:dyDescent="0.25">
      <c r="A190" s="55" t="s">
        <v>916</v>
      </c>
      <c r="E190" s="3">
        <v>111902</v>
      </c>
      <c r="F190" s="4">
        <v>108500</v>
      </c>
      <c r="G190" s="4">
        <v>111500</v>
      </c>
      <c r="H190" s="4">
        <v>111500</v>
      </c>
      <c r="I190" s="4">
        <v>111500</v>
      </c>
      <c r="J190" s="4"/>
    </row>
    <row r="191" spans="1:10" x14ac:dyDescent="0.2">
      <c r="A191" s="3" t="s">
        <v>1021</v>
      </c>
      <c r="B191" s="11" t="s">
        <v>261</v>
      </c>
      <c r="C191" s="11" t="s">
        <v>1678</v>
      </c>
      <c r="D191" s="11"/>
      <c r="F191" s="4"/>
      <c r="G191" s="4"/>
      <c r="H191" s="4"/>
      <c r="I191" s="4"/>
      <c r="J191" s="4"/>
    </row>
    <row r="192" spans="1:10" x14ac:dyDescent="0.2">
      <c r="A192" s="3" t="s">
        <v>2219</v>
      </c>
      <c r="B192" s="3">
        <v>3</v>
      </c>
      <c r="C192" s="3">
        <v>900</v>
      </c>
      <c r="D192" s="3">
        <f>C192*B192</f>
        <v>2700</v>
      </c>
      <c r="E192" s="3">
        <v>3</v>
      </c>
      <c r="F192" s="4"/>
      <c r="G192" s="4"/>
      <c r="H192" s="4"/>
      <c r="I192" s="4"/>
      <c r="J192" s="4"/>
    </row>
    <row r="193" spans="1:10" x14ac:dyDescent="0.2">
      <c r="A193" s="3" t="s">
        <v>1859</v>
      </c>
      <c r="B193" s="3">
        <v>9</v>
      </c>
      <c r="C193" s="3">
        <v>900</v>
      </c>
      <c r="D193" s="341">
        <f t="shared" ref="D193:D204" si="14">C193*B193</f>
        <v>8100</v>
      </c>
      <c r="E193" s="3">
        <v>9</v>
      </c>
      <c r="F193" s="4"/>
      <c r="G193" s="4"/>
      <c r="H193" s="4"/>
      <c r="I193" s="4"/>
      <c r="J193" s="4"/>
    </row>
    <row r="194" spans="1:10" x14ac:dyDescent="0.2">
      <c r="A194" s="3" t="s">
        <v>1944</v>
      </c>
      <c r="B194" s="3">
        <v>36</v>
      </c>
      <c r="C194" s="3">
        <v>850</v>
      </c>
      <c r="D194" s="341">
        <f t="shared" si="14"/>
        <v>30600</v>
      </c>
      <c r="E194" s="3">
        <v>28</v>
      </c>
      <c r="F194" s="4"/>
      <c r="G194" s="4"/>
      <c r="H194" s="4"/>
      <c r="I194" s="4"/>
      <c r="J194" s="4"/>
    </row>
    <row r="195" spans="1:10" x14ac:dyDescent="0.2">
      <c r="A195" s="3" t="s">
        <v>2220</v>
      </c>
      <c r="B195" s="3">
        <v>1</v>
      </c>
      <c r="C195" s="3">
        <v>300</v>
      </c>
      <c r="D195" s="341">
        <f t="shared" si="14"/>
        <v>300</v>
      </c>
      <c r="E195" s="3">
        <v>1</v>
      </c>
      <c r="F195" s="4"/>
      <c r="G195" s="4"/>
      <c r="H195" s="4"/>
      <c r="I195" s="4"/>
      <c r="J195" s="4"/>
    </row>
    <row r="196" spans="1:10" x14ac:dyDescent="0.2">
      <c r="A196" s="54" t="s">
        <v>262</v>
      </c>
      <c r="B196" s="3">
        <v>2</v>
      </c>
      <c r="C196" s="3">
        <v>250</v>
      </c>
      <c r="D196" s="341">
        <f t="shared" si="14"/>
        <v>500</v>
      </c>
      <c r="E196" s="3">
        <v>4</v>
      </c>
      <c r="F196" s="4"/>
      <c r="G196" s="4"/>
      <c r="H196" s="4"/>
      <c r="I196" s="4"/>
      <c r="J196" s="4"/>
    </row>
    <row r="197" spans="1:10" x14ac:dyDescent="0.2">
      <c r="A197" s="3" t="s">
        <v>2221</v>
      </c>
      <c r="B197" s="3">
        <v>5</v>
      </c>
      <c r="C197" s="3">
        <v>700</v>
      </c>
      <c r="D197" s="341">
        <f t="shared" si="14"/>
        <v>3500</v>
      </c>
      <c r="E197" s="3">
        <v>5</v>
      </c>
      <c r="F197" s="437"/>
      <c r="G197" s="437"/>
      <c r="H197" s="437"/>
      <c r="I197" s="437"/>
      <c r="J197" s="437"/>
    </row>
    <row r="198" spans="1:10" x14ac:dyDescent="0.2">
      <c r="A198" s="3" t="s">
        <v>1939</v>
      </c>
      <c r="B198" s="3">
        <v>12</v>
      </c>
      <c r="C198" s="3">
        <v>3400</v>
      </c>
      <c r="D198" s="341">
        <f t="shared" si="14"/>
        <v>40800</v>
      </c>
      <c r="E198" s="3">
        <v>12</v>
      </c>
      <c r="F198" s="437"/>
      <c r="G198" s="437"/>
      <c r="H198" s="437"/>
      <c r="I198" s="437"/>
      <c r="J198" s="437"/>
    </row>
    <row r="199" spans="1:10" x14ac:dyDescent="0.2">
      <c r="A199" s="3" t="s">
        <v>2222</v>
      </c>
      <c r="B199" s="3">
        <v>3</v>
      </c>
      <c r="C199" s="3">
        <v>3400</v>
      </c>
      <c r="D199" s="341">
        <f t="shared" si="14"/>
        <v>10200</v>
      </c>
      <c r="E199" s="3">
        <v>5</v>
      </c>
      <c r="G199" s="437"/>
      <c r="H199" s="437"/>
      <c r="I199" s="437"/>
      <c r="J199" s="437"/>
    </row>
    <row r="200" spans="1:10" x14ac:dyDescent="0.2">
      <c r="A200" s="341" t="s">
        <v>2223</v>
      </c>
      <c r="B200" s="341">
        <v>3</v>
      </c>
      <c r="C200" s="341">
        <v>1400</v>
      </c>
      <c r="D200" s="341">
        <f t="shared" si="14"/>
        <v>4200</v>
      </c>
      <c r="E200" s="341">
        <v>5</v>
      </c>
      <c r="F200" s="437"/>
      <c r="G200" s="437"/>
      <c r="H200" s="437"/>
      <c r="I200" s="437"/>
      <c r="J200" s="437"/>
    </row>
    <row r="201" spans="1:10" x14ac:dyDescent="0.2">
      <c r="A201" s="3" t="s">
        <v>1631</v>
      </c>
      <c r="B201" s="3">
        <v>10</v>
      </c>
      <c r="C201" s="3">
        <v>300</v>
      </c>
      <c r="D201" s="341">
        <f t="shared" si="14"/>
        <v>3000</v>
      </c>
      <c r="E201" s="3">
        <v>10</v>
      </c>
      <c r="F201" s="437"/>
      <c r="G201" s="437"/>
      <c r="H201" s="437"/>
      <c r="I201" s="437"/>
      <c r="J201" s="437"/>
    </row>
    <row r="202" spans="1:10" x14ac:dyDescent="0.2">
      <c r="A202" s="3" t="s">
        <v>2146</v>
      </c>
      <c r="B202" s="3">
        <v>1</v>
      </c>
      <c r="C202" s="3">
        <v>3000</v>
      </c>
      <c r="D202" s="341">
        <f t="shared" si="14"/>
        <v>3000</v>
      </c>
      <c r="E202" s="3">
        <v>1</v>
      </c>
      <c r="F202" s="4"/>
      <c r="G202" s="4"/>
      <c r="H202" s="4"/>
      <c r="I202" s="4"/>
      <c r="J202" s="4"/>
    </row>
    <row r="203" spans="1:10" x14ac:dyDescent="0.2">
      <c r="A203" s="3" t="s">
        <v>2224</v>
      </c>
      <c r="B203" s="3">
        <v>4</v>
      </c>
      <c r="C203" s="3">
        <v>600</v>
      </c>
      <c r="D203" s="341">
        <f t="shared" si="14"/>
        <v>2400</v>
      </c>
      <c r="E203" s="3">
        <v>4</v>
      </c>
      <c r="F203" s="4"/>
      <c r="G203" s="4"/>
      <c r="H203" s="4"/>
      <c r="I203" s="4"/>
      <c r="J203" s="4"/>
    </row>
    <row r="204" spans="1:10" ht="15" x14ac:dyDescent="0.35">
      <c r="A204" s="3" t="s">
        <v>2225</v>
      </c>
      <c r="B204" s="3">
        <v>22</v>
      </c>
      <c r="C204" s="3">
        <v>100</v>
      </c>
      <c r="D204" s="422">
        <f t="shared" si="14"/>
        <v>2200</v>
      </c>
      <c r="E204" s="3">
        <v>1</v>
      </c>
      <c r="F204" s="4"/>
      <c r="G204" s="4"/>
      <c r="H204" s="4"/>
      <c r="I204" s="4"/>
      <c r="J204" s="4"/>
    </row>
    <row r="205" spans="1:10" x14ac:dyDescent="0.2">
      <c r="A205" s="28" t="s">
        <v>1320</v>
      </c>
      <c r="D205" s="3">
        <f>SUM(D192:D204)</f>
        <v>111500</v>
      </c>
      <c r="F205" s="4"/>
      <c r="G205" s="4"/>
      <c r="H205" s="4"/>
      <c r="I205" s="4"/>
      <c r="J205" s="4"/>
    </row>
    <row r="206" spans="1:10" x14ac:dyDescent="0.2">
      <c r="F206" s="4"/>
      <c r="G206" s="4"/>
      <c r="H206" s="4"/>
      <c r="I206" s="4"/>
      <c r="J206" s="4"/>
    </row>
    <row r="207" spans="1:10" ht="13.5" x14ac:dyDescent="0.25">
      <c r="A207" s="55" t="s">
        <v>1022</v>
      </c>
      <c r="E207" s="3">
        <v>242</v>
      </c>
      <c r="F207" s="4">
        <v>425</v>
      </c>
      <c r="G207" s="4">
        <v>425</v>
      </c>
      <c r="H207" s="4">
        <v>425</v>
      </c>
      <c r="I207" s="4">
        <v>425</v>
      </c>
      <c r="J207" s="4"/>
    </row>
    <row r="208" spans="1:10" x14ac:dyDescent="0.2">
      <c r="A208" s="3" t="s">
        <v>2226</v>
      </c>
      <c r="D208" s="3">
        <v>425</v>
      </c>
      <c r="F208" s="4"/>
      <c r="G208" s="4"/>
      <c r="H208" s="4"/>
      <c r="I208" s="4"/>
      <c r="J208" s="4"/>
    </row>
    <row r="209" spans="1:10" x14ac:dyDescent="0.2">
      <c r="A209" s="28"/>
      <c r="F209" s="4"/>
      <c r="G209" s="4"/>
      <c r="H209" s="4"/>
      <c r="I209" s="4"/>
      <c r="J209" s="4"/>
    </row>
    <row r="210" spans="1:10" ht="13.5" x14ac:dyDescent="0.25">
      <c r="A210" s="55" t="s">
        <v>676</v>
      </c>
      <c r="E210" s="3">
        <v>100</v>
      </c>
      <c r="F210" s="4">
        <v>300</v>
      </c>
      <c r="G210" s="4">
        <v>300</v>
      </c>
      <c r="H210" s="4">
        <v>300</v>
      </c>
      <c r="I210" s="4">
        <v>300</v>
      </c>
      <c r="J210" s="4"/>
    </row>
    <row r="211" spans="1:10" x14ac:dyDescent="0.2">
      <c r="A211" s="3" t="s">
        <v>1606</v>
      </c>
      <c r="B211" s="3" t="s">
        <v>418</v>
      </c>
      <c r="D211" s="3">
        <v>300</v>
      </c>
      <c r="F211" s="4"/>
      <c r="G211" s="4"/>
      <c r="H211" s="4"/>
      <c r="I211" s="4"/>
      <c r="J211" s="4"/>
    </row>
    <row r="212" spans="1:10" x14ac:dyDescent="0.2">
      <c r="F212" s="4"/>
      <c r="G212" s="4"/>
      <c r="H212" s="4"/>
      <c r="I212" s="4"/>
      <c r="J212" s="4"/>
    </row>
    <row r="213" spans="1:10" ht="13.5" x14ac:dyDescent="0.25">
      <c r="A213" s="55" t="s">
        <v>1036</v>
      </c>
      <c r="C213" s="7"/>
      <c r="E213" s="3">
        <v>24491</v>
      </c>
      <c r="F213" s="4">
        <v>29000</v>
      </c>
      <c r="G213" s="4">
        <v>28700</v>
      </c>
      <c r="H213" s="4">
        <v>28700</v>
      </c>
      <c r="I213" s="4">
        <v>28700</v>
      </c>
      <c r="J213" s="4"/>
    </row>
    <row r="214" spans="1:10" x14ac:dyDescent="0.2">
      <c r="A214" s="3" t="s">
        <v>387</v>
      </c>
      <c r="C214" s="15"/>
      <c r="D214" s="3">
        <v>1700</v>
      </c>
      <c r="F214" s="4"/>
      <c r="G214" s="4"/>
      <c r="H214" s="4"/>
      <c r="I214" s="4"/>
      <c r="J214" s="4"/>
    </row>
    <row r="215" spans="1:10" x14ac:dyDescent="0.2">
      <c r="A215" s="3" t="s">
        <v>98</v>
      </c>
      <c r="C215" s="15"/>
      <c r="D215" s="3">
        <v>6000</v>
      </c>
      <c r="F215" s="4"/>
      <c r="G215" s="4"/>
      <c r="H215" s="4"/>
      <c r="I215" s="4"/>
      <c r="J215" s="4"/>
    </row>
    <row r="216" spans="1:10" ht="15" x14ac:dyDescent="0.35">
      <c r="A216" s="3" t="s">
        <v>99</v>
      </c>
      <c r="B216" s="14"/>
      <c r="C216" s="15"/>
      <c r="D216" s="14">
        <v>21000</v>
      </c>
      <c r="F216" s="4"/>
      <c r="G216" s="4"/>
      <c r="H216" s="4"/>
      <c r="I216" s="4"/>
      <c r="J216" s="4"/>
    </row>
    <row r="217" spans="1:10" x14ac:dyDescent="0.2">
      <c r="A217" s="28" t="s">
        <v>1320</v>
      </c>
      <c r="B217" s="1"/>
      <c r="C217" s="15"/>
      <c r="D217" s="3">
        <f>SUM(D214:D216)</f>
        <v>28700</v>
      </c>
      <c r="F217" s="4"/>
      <c r="G217" s="4"/>
      <c r="H217" s="4"/>
      <c r="I217" s="4"/>
      <c r="J217" s="4"/>
    </row>
    <row r="218" spans="1:10" x14ac:dyDescent="0.2">
      <c r="C218" s="15"/>
      <c r="F218" s="4"/>
      <c r="G218" s="4"/>
      <c r="H218" s="4"/>
      <c r="I218" s="4"/>
      <c r="J218" s="4"/>
    </row>
    <row r="219" spans="1:10" ht="13.5" x14ac:dyDescent="0.25">
      <c r="A219" s="55" t="s">
        <v>1112</v>
      </c>
      <c r="C219" s="41"/>
      <c r="E219" s="3">
        <v>15518</v>
      </c>
      <c r="F219" s="4">
        <v>15900</v>
      </c>
      <c r="G219" s="4">
        <v>15500</v>
      </c>
      <c r="H219" s="4">
        <v>15500</v>
      </c>
      <c r="I219" s="4">
        <v>15500</v>
      </c>
      <c r="J219" s="4"/>
    </row>
    <row r="220" spans="1:10" x14ac:dyDescent="0.2">
      <c r="A220" s="3" t="s">
        <v>387</v>
      </c>
      <c r="C220" s="15"/>
      <c r="D220" s="3">
        <v>2400</v>
      </c>
      <c r="F220" s="4"/>
      <c r="G220" s="4"/>
      <c r="H220" s="4"/>
      <c r="I220" s="4"/>
      <c r="J220" s="4"/>
    </row>
    <row r="221" spans="1:10" x14ac:dyDescent="0.2">
      <c r="A221" s="3" t="s">
        <v>98</v>
      </c>
      <c r="C221" s="15"/>
      <c r="D221" s="3">
        <v>2200</v>
      </c>
      <c r="F221" s="4"/>
      <c r="G221" s="4"/>
      <c r="H221" s="4"/>
      <c r="I221" s="4"/>
      <c r="J221" s="4"/>
    </row>
    <row r="222" spans="1:10" ht="15" x14ac:dyDescent="0.35">
      <c r="A222" s="3" t="s">
        <v>99</v>
      </c>
      <c r="C222" s="15"/>
      <c r="D222" s="14">
        <v>10900</v>
      </c>
      <c r="F222" s="4"/>
      <c r="G222" s="4"/>
      <c r="H222" s="4"/>
      <c r="I222" s="4"/>
      <c r="J222" s="4"/>
    </row>
    <row r="223" spans="1:10" x14ac:dyDescent="0.2">
      <c r="A223" s="28" t="s">
        <v>1320</v>
      </c>
      <c r="D223" s="3">
        <f>SUM(D220:D222)</f>
        <v>15500</v>
      </c>
      <c r="F223" s="4"/>
      <c r="G223" s="4"/>
      <c r="H223" s="4"/>
      <c r="I223" s="4"/>
      <c r="J223" s="4"/>
    </row>
    <row r="224" spans="1:10" x14ac:dyDescent="0.2">
      <c r="C224" s="15"/>
      <c r="F224" s="4"/>
      <c r="G224" s="4"/>
      <c r="H224" s="4"/>
      <c r="I224" s="4"/>
      <c r="J224" s="4"/>
    </row>
    <row r="225" spans="1:10" ht="13.5" x14ac:dyDescent="0.25">
      <c r="A225" s="55" t="s">
        <v>1351</v>
      </c>
      <c r="C225" s="15"/>
      <c r="E225" s="3">
        <v>2669</v>
      </c>
      <c r="F225" s="4">
        <v>2700</v>
      </c>
      <c r="G225" s="4">
        <v>2750</v>
      </c>
      <c r="H225" s="4">
        <v>2750</v>
      </c>
      <c r="I225" s="4">
        <v>2750</v>
      </c>
      <c r="J225" s="4"/>
    </row>
    <row r="226" spans="1:10" x14ac:dyDescent="0.2">
      <c r="A226" s="3" t="s">
        <v>353</v>
      </c>
      <c r="C226" s="15"/>
      <c r="D226" s="3">
        <v>2750</v>
      </c>
      <c r="F226" s="4"/>
      <c r="G226" s="4"/>
      <c r="H226" s="4"/>
      <c r="I226" s="4"/>
      <c r="J226" s="4"/>
    </row>
    <row r="227" spans="1:10" x14ac:dyDescent="0.2">
      <c r="C227" s="15"/>
      <c r="F227" s="4"/>
      <c r="G227" s="4"/>
      <c r="H227" s="4"/>
      <c r="I227" s="4"/>
      <c r="J227" s="4"/>
    </row>
    <row r="228" spans="1:10" ht="13.5" x14ac:dyDescent="0.25">
      <c r="A228" s="55" t="s">
        <v>1352</v>
      </c>
      <c r="C228" s="15"/>
      <c r="E228" s="3">
        <v>887</v>
      </c>
      <c r="F228" s="4">
        <v>912</v>
      </c>
      <c r="G228" s="4">
        <v>1020</v>
      </c>
      <c r="H228" s="4">
        <v>1020</v>
      </c>
      <c r="I228" s="4">
        <v>1020</v>
      </c>
      <c r="J228" s="4"/>
    </row>
    <row r="229" spans="1:10" x14ac:dyDescent="0.2">
      <c r="A229" s="3" t="s">
        <v>387</v>
      </c>
      <c r="C229" s="15"/>
      <c r="D229" s="3">
        <v>340</v>
      </c>
      <c r="F229" s="4"/>
      <c r="G229" s="4"/>
      <c r="H229" s="4"/>
      <c r="I229" s="4"/>
      <c r="J229" s="4"/>
    </row>
    <row r="230" spans="1:10" x14ac:dyDescent="0.2">
      <c r="A230" s="3" t="s">
        <v>98</v>
      </c>
      <c r="C230" s="15"/>
      <c r="D230" s="3">
        <v>340</v>
      </c>
      <c r="F230" s="4"/>
      <c r="G230" s="4"/>
      <c r="H230" s="4"/>
      <c r="I230" s="4"/>
      <c r="J230" s="4"/>
    </row>
    <row r="231" spans="1:10" ht="15" x14ac:dyDescent="0.35">
      <c r="A231" s="3" t="s">
        <v>99</v>
      </c>
      <c r="C231" s="15"/>
      <c r="D231" s="14">
        <v>340</v>
      </c>
      <c r="F231" s="4"/>
      <c r="G231" s="4"/>
      <c r="H231" s="4"/>
      <c r="I231" s="4"/>
      <c r="J231" s="4"/>
    </row>
    <row r="232" spans="1:10" x14ac:dyDescent="0.2">
      <c r="A232" s="28" t="s">
        <v>1320</v>
      </c>
      <c r="C232" s="15"/>
      <c r="D232" s="3">
        <f>SUM(D229:D231)</f>
        <v>1020</v>
      </c>
      <c r="F232" s="4"/>
      <c r="G232" s="4"/>
      <c r="H232" s="4"/>
      <c r="I232" s="4"/>
      <c r="J232" s="4"/>
    </row>
    <row r="233" spans="1:10" x14ac:dyDescent="0.2">
      <c r="C233" s="15"/>
      <c r="F233" s="4"/>
      <c r="G233" s="4"/>
      <c r="H233" s="4"/>
      <c r="I233" s="4"/>
      <c r="J233" s="4"/>
    </row>
    <row r="234" spans="1:10" ht="13.5" x14ac:dyDescent="0.25">
      <c r="A234" s="55" t="s">
        <v>1353</v>
      </c>
      <c r="B234" s="7" t="s">
        <v>633</v>
      </c>
      <c r="C234" s="41" t="s">
        <v>634</v>
      </c>
      <c r="D234" s="7" t="s">
        <v>1320</v>
      </c>
      <c r="E234" s="3">
        <v>44117</v>
      </c>
      <c r="F234" s="4">
        <v>39780</v>
      </c>
      <c r="G234" s="4">
        <v>62090</v>
      </c>
      <c r="H234" s="4">
        <v>62090</v>
      </c>
      <c r="I234" s="4">
        <v>62090</v>
      </c>
      <c r="J234" s="4"/>
    </row>
    <row r="235" spans="1:10" x14ac:dyDescent="0.2">
      <c r="A235" s="3" t="s">
        <v>1354</v>
      </c>
      <c r="B235" s="3">
        <v>12600</v>
      </c>
      <c r="C235" s="15">
        <v>4.1500000000000004</v>
      </c>
      <c r="D235" s="3">
        <f>+C235*B235</f>
        <v>52290.000000000007</v>
      </c>
      <c r="F235" s="4"/>
      <c r="G235" s="4"/>
      <c r="H235" s="4"/>
      <c r="I235" s="4"/>
      <c r="J235" s="4"/>
    </row>
    <row r="236" spans="1:10" ht="15" x14ac:dyDescent="0.35">
      <c r="A236" s="3" t="s">
        <v>354</v>
      </c>
      <c r="B236" s="3">
        <v>2800</v>
      </c>
      <c r="C236" s="15">
        <v>3.5</v>
      </c>
      <c r="D236" s="14">
        <f>+C236*B236</f>
        <v>9800</v>
      </c>
      <c r="F236" s="4"/>
      <c r="G236" s="4"/>
      <c r="H236" s="4"/>
      <c r="I236" s="4"/>
      <c r="J236" s="4"/>
    </row>
    <row r="237" spans="1:10" x14ac:dyDescent="0.2">
      <c r="A237" s="28" t="s">
        <v>1320</v>
      </c>
      <c r="C237" s="15"/>
      <c r="D237" s="3">
        <f>SUM(D235:D236)</f>
        <v>62090.000000000007</v>
      </c>
      <c r="F237" s="4"/>
      <c r="G237" s="4"/>
      <c r="H237" s="4"/>
      <c r="I237" s="4"/>
      <c r="J237" s="4"/>
    </row>
    <row r="238" spans="1:10" ht="13.5" customHeight="1" x14ac:dyDescent="0.2">
      <c r="A238" s="28"/>
      <c r="C238" s="15"/>
      <c r="F238" s="4"/>
      <c r="G238" s="4"/>
      <c r="H238" s="4"/>
      <c r="I238" s="4"/>
      <c r="J238" s="4"/>
    </row>
    <row r="239" spans="1:10" x14ac:dyDescent="0.2">
      <c r="F239" s="4"/>
      <c r="G239" s="4"/>
      <c r="H239" s="4"/>
      <c r="I239" s="4"/>
      <c r="J239" s="4"/>
    </row>
    <row r="240" spans="1:10" ht="13.5" x14ac:dyDescent="0.25">
      <c r="A240" s="55" t="s">
        <v>562</v>
      </c>
      <c r="E240" s="3">
        <v>21792</v>
      </c>
      <c r="F240" s="4">
        <v>20810</v>
      </c>
      <c r="G240" s="4">
        <v>22810</v>
      </c>
      <c r="H240" s="4">
        <v>22810</v>
      </c>
      <c r="I240" s="4">
        <v>22810</v>
      </c>
      <c r="J240" s="4"/>
    </row>
    <row r="241" spans="1:10" x14ac:dyDescent="0.2">
      <c r="A241" s="3" t="s">
        <v>1774</v>
      </c>
      <c r="D241" s="3">
        <v>7500</v>
      </c>
      <c r="F241" s="4"/>
      <c r="G241" s="4"/>
      <c r="H241" s="4"/>
      <c r="I241" s="4"/>
      <c r="J241" s="4"/>
    </row>
    <row r="242" spans="1:10" x14ac:dyDescent="0.2">
      <c r="A242" s="3" t="s">
        <v>1679</v>
      </c>
      <c r="B242" s="3">
        <v>2</v>
      </c>
      <c r="C242" s="3">
        <v>165</v>
      </c>
      <c r="D242" s="3">
        <f t="shared" ref="D242:D247" si="15">C242*B242</f>
        <v>330</v>
      </c>
      <c r="F242" s="4"/>
      <c r="G242" s="4"/>
      <c r="H242" s="4"/>
      <c r="I242" s="4"/>
      <c r="J242" s="4"/>
    </row>
    <row r="243" spans="1:10" x14ac:dyDescent="0.2">
      <c r="A243" s="3" t="s">
        <v>2304</v>
      </c>
      <c r="B243" s="3">
        <v>1</v>
      </c>
      <c r="C243" s="3">
        <v>6400</v>
      </c>
      <c r="D243" s="3">
        <f t="shared" si="15"/>
        <v>6400</v>
      </c>
      <c r="F243" s="4"/>
      <c r="G243" s="4"/>
      <c r="H243" s="4"/>
      <c r="I243" s="4"/>
      <c r="J243" s="4"/>
    </row>
    <row r="244" spans="1:10" x14ac:dyDescent="0.2">
      <c r="A244" s="3" t="s">
        <v>2227</v>
      </c>
      <c r="B244" s="3">
        <v>3</v>
      </c>
      <c r="C244" s="3">
        <v>1020</v>
      </c>
      <c r="D244" s="3">
        <f t="shared" si="15"/>
        <v>3060</v>
      </c>
      <c r="F244" s="4"/>
      <c r="G244" s="4"/>
      <c r="H244" s="4"/>
      <c r="I244" s="4"/>
      <c r="J244" s="4"/>
    </row>
    <row r="245" spans="1:10" x14ac:dyDescent="0.2">
      <c r="A245" s="3" t="s">
        <v>2228</v>
      </c>
      <c r="B245" s="3">
        <v>2</v>
      </c>
      <c r="C245" s="3">
        <v>480</v>
      </c>
      <c r="D245" s="3">
        <f t="shared" si="15"/>
        <v>960</v>
      </c>
      <c r="F245" s="4"/>
      <c r="G245" s="4"/>
      <c r="H245" s="4"/>
      <c r="I245" s="4"/>
      <c r="J245" s="4"/>
    </row>
    <row r="246" spans="1:10" x14ac:dyDescent="0.2">
      <c r="A246" s="3" t="s">
        <v>2229</v>
      </c>
      <c r="B246" s="3">
        <v>12</v>
      </c>
      <c r="C246" s="3">
        <v>300</v>
      </c>
      <c r="D246" s="3">
        <f t="shared" si="15"/>
        <v>3600</v>
      </c>
      <c r="F246" s="4"/>
      <c r="G246" s="4"/>
      <c r="H246" s="4"/>
      <c r="I246" s="4"/>
      <c r="J246" s="4"/>
    </row>
    <row r="247" spans="1:10" ht="15" x14ac:dyDescent="0.35">
      <c r="A247" s="3" t="s">
        <v>2230</v>
      </c>
      <c r="B247" s="3">
        <v>2</v>
      </c>
      <c r="C247" s="3">
        <v>480</v>
      </c>
      <c r="D247" s="14">
        <f t="shared" si="15"/>
        <v>960</v>
      </c>
      <c r="F247" s="4"/>
      <c r="G247" s="4"/>
      <c r="H247" s="4"/>
      <c r="I247" s="4"/>
      <c r="J247" s="4"/>
    </row>
    <row r="248" spans="1:10" x14ac:dyDescent="0.2">
      <c r="A248" s="28" t="s">
        <v>1320</v>
      </c>
      <c r="D248" s="3">
        <f>SUM(D241:D247)</f>
        <v>22810</v>
      </c>
      <c r="F248" s="4"/>
      <c r="G248" s="4"/>
      <c r="H248" s="4"/>
      <c r="I248" s="4"/>
      <c r="J248" s="4"/>
    </row>
    <row r="249" spans="1:10" x14ac:dyDescent="0.2">
      <c r="F249" s="4"/>
      <c r="G249" s="4"/>
      <c r="H249" s="4"/>
      <c r="I249" s="4"/>
      <c r="J249" s="4"/>
    </row>
    <row r="250" spans="1:10" ht="13.5" x14ac:dyDescent="0.25">
      <c r="A250" s="55" t="s">
        <v>1150</v>
      </c>
      <c r="B250" s="11"/>
      <c r="C250" s="11"/>
      <c r="D250" s="11"/>
      <c r="E250" s="3">
        <v>6489</v>
      </c>
      <c r="F250" s="4">
        <v>9181</v>
      </c>
      <c r="G250" s="4">
        <v>9181</v>
      </c>
      <c r="H250" s="4">
        <v>9181</v>
      </c>
      <c r="I250" s="4">
        <v>9181</v>
      </c>
      <c r="J250" s="4"/>
    </row>
    <row r="251" spans="1:10" x14ac:dyDescent="0.2">
      <c r="A251" s="3" t="s">
        <v>1571</v>
      </c>
      <c r="B251" s="3">
        <v>55</v>
      </c>
      <c r="C251" s="3">
        <v>28</v>
      </c>
      <c r="D251" s="3">
        <f>C251*B251</f>
        <v>1540</v>
      </c>
      <c r="F251" s="4"/>
      <c r="G251" s="4"/>
      <c r="H251" s="4"/>
      <c r="I251" s="4"/>
      <c r="J251" s="4"/>
    </row>
    <row r="252" spans="1:10" x14ac:dyDescent="0.2">
      <c r="A252" s="3" t="s">
        <v>1492</v>
      </c>
      <c r="B252" s="3">
        <v>3</v>
      </c>
      <c r="C252" s="3">
        <v>300</v>
      </c>
      <c r="D252" s="3">
        <f t="shared" ref="D252:D258" si="16">C252*B252</f>
        <v>900</v>
      </c>
      <c r="F252" s="4"/>
      <c r="G252" s="4"/>
      <c r="H252" s="4"/>
      <c r="I252" s="4"/>
      <c r="J252" s="4"/>
    </row>
    <row r="253" spans="1:10" x14ac:dyDescent="0.2">
      <c r="A253" s="3" t="s">
        <v>397</v>
      </c>
      <c r="B253" s="3">
        <v>2</v>
      </c>
      <c r="C253" s="3">
        <v>100</v>
      </c>
      <c r="D253" s="3">
        <f t="shared" si="16"/>
        <v>200</v>
      </c>
      <c r="F253" s="4"/>
      <c r="G253" s="4"/>
      <c r="H253" s="4"/>
      <c r="I253" s="4"/>
      <c r="J253" s="4"/>
    </row>
    <row r="254" spans="1:10" x14ac:dyDescent="0.2">
      <c r="A254" s="3" t="s">
        <v>398</v>
      </c>
      <c r="B254" s="3">
        <v>1</v>
      </c>
      <c r="C254" s="3">
        <v>180</v>
      </c>
      <c r="D254" s="3">
        <f t="shared" si="16"/>
        <v>180</v>
      </c>
      <c r="F254" s="4"/>
      <c r="G254" s="4"/>
      <c r="H254" s="4"/>
      <c r="I254" s="4"/>
      <c r="J254" s="4"/>
    </row>
    <row r="255" spans="1:10" x14ac:dyDescent="0.2">
      <c r="A255" s="3" t="s">
        <v>2231</v>
      </c>
      <c r="B255" s="3">
        <v>1</v>
      </c>
      <c r="C255" s="3">
        <v>2300</v>
      </c>
      <c r="D255" s="3">
        <f t="shared" si="16"/>
        <v>2300</v>
      </c>
      <c r="F255" s="4"/>
      <c r="G255" s="4"/>
      <c r="H255" s="4"/>
      <c r="I255" s="4"/>
      <c r="J255" s="4"/>
    </row>
    <row r="256" spans="1:10" x14ac:dyDescent="0.2">
      <c r="A256" s="3" t="s">
        <v>2232</v>
      </c>
      <c r="B256" s="3">
        <v>1</v>
      </c>
      <c r="C256" s="3">
        <v>150</v>
      </c>
      <c r="D256" s="3">
        <f t="shared" si="16"/>
        <v>150</v>
      </c>
      <c r="F256" s="4"/>
      <c r="G256" s="4"/>
      <c r="H256" s="4"/>
      <c r="I256" s="4"/>
      <c r="J256" s="4"/>
    </row>
    <row r="257" spans="1:10" x14ac:dyDescent="0.2">
      <c r="A257" s="3" t="s">
        <v>2233</v>
      </c>
      <c r="B257" s="3">
        <v>1</v>
      </c>
      <c r="C257" s="3">
        <v>3411</v>
      </c>
      <c r="D257" s="3">
        <f t="shared" si="16"/>
        <v>3411</v>
      </c>
      <c r="F257" s="4"/>
      <c r="G257" s="4"/>
      <c r="H257" s="4"/>
      <c r="I257" s="4"/>
      <c r="J257" s="4"/>
    </row>
    <row r="258" spans="1:10" ht="15" x14ac:dyDescent="0.35">
      <c r="A258" s="3" t="s">
        <v>42</v>
      </c>
      <c r="B258" s="3">
        <v>1</v>
      </c>
      <c r="C258" s="3">
        <v>500</v>
      </c>
      <c r="D258" s="14">
        <f t="shared" si="16"/>
        <v>500</v>
      </c>
      <c r="F258" s="4"/>
      <c r="G258" s="4"/>
      <c r="H258" s="4"/>
      <c r="I258" s="4"/>
      <c r="J258" s="4"/>
    </row>
    <row r="259" spans="1:10" x14ac:dyDescent="0.2">
      <c r="A259" s="28" t="s">
        <v>1320</v>
      </c>
      <c r="D259" s="3">
        <f>SUM(D251:D258)</f>
        <v>9181</v>
      </c>
      <c r="F259" s="4"/>
      <c r="G259" s="4"/>
      <c r="H259" s="4"/>
      <c r="I259" s="4"/>
      <c r="J259" s="4"/>
    </row>
    <row r="260" spans="1:10" x14ac:dyDescent="0.2">
      <c r="F260" s="4"/>
      <c r="G260" s="4"/>
      <c r="H260" s="4"/>
      <c r="I260" s="4"/>
      <c r="J260" s="4"/>
    </row>
    <row r="261" spans="1:10" ht="13.5" x14ac:dyDescent="0.25">
      <c r="A261" s="55" t="s">
        <v>686</v>
      </c>
      <c r="E261" s="3">
        <v>47419</v>
      </c>
      <c r="F261" s="4">
        <v>53935</v>
      </c>
      <c r="G261" s="4">
        <v>57992</v>
      </c>
      <c r="H261" s="4">
        <v>57992</v>
      </c>
      <c r="I261" s="4">
        <v>57992</v>
      </c>
      <c r="J261" s="4"/>
    </row>
    <row r="262" spans="1:10" x14ac:dyDescent="0.2">
      <c r="A262" s="3" t="s">
        <v>1136</v>
      </c>
      <c r="D262" s="3">
        <v>57992</v>
      </c>
      <c r="F262" s="4"/>
      <c r="G262" s="4"/>
      <c r="H262" s="4"/>
      <c r="I262" s="4"/>
      <c r="J262" s="4"/>
    </row>
    <row r="263" spans="1:10" x14ac:dyDescent="0.2">
      <c r="F263" s="4"/>
      <c r="G263" s="4"/>
      <c r="H263" s="4"/>
      <c r="I263" s="4"/>
      <c r="J263" s="4"/>
    </row>
    <row r="264" spans="1:10" ht="13.5" x14ac:dyDescent="0.25">
      <c r="A264" s="55" t="s">
        <v>1378</v>
      </c>
      <c r="B264" s="22"/>
      <c r="C264" s="22"/>
      <c r="D264" s="22"/>
      <c r="E264" s="3">
        <v>1229</v>
      </c>
      <c r="F264" s="4">
        <v>2250</v>
      </c>
      <c r="G264" s="4">
        <v>2250</v>
      </c>
      <c r="H264" s="4">
        <v>2250</v>
      </c>
      <c r="I264" s="4">
        <v>2250</v>
      </c>
      <c r="J264" s="4"/>
    </row>
    <row r="265" spans="1:10" x14ac:dyDescent="0.2">
      <c r="A265" s="228" t="s">
        <v>2234</v>
      </c>
      <c r="B265" s="3">
        <v>1</v>
      </c>
      <c r="C265" s="3">
        <v>250</v>
      </c>
      <c r="D265" s="3">
        <v>2250</v>
      </c>
      <c r="F265" s="4"/>
      <c r="G265" s="4"/>
      <c r="H265" s="4"/>
      <c r="I265" s="4"/>
      <c r="J265" s="4"/>
    </row>
    <row r="266" spans="1:10" x14ac:dyDescent="0.2">
      <c r="A266" s="3" t="s">
        <v>418</v>
      </c>
      <c r="F266" s="4"/>
      <c r="G266" s="4"/>
      <c r="H266" s="4"/>
      <c r="I266" s="4"/>
      <c r="J266" s="4"/>
    </row>
    <row r="267" spans="1:10" ht="13.5" x14ac:dyDescent="0.25">
      <c r="A267" s="55" t="s">
        <v>1379</v>
      </c>
      <c r="B267" s="11"/>
      <c r="C267" s="11"/>
      <c r="D267" s="11"/>
      <c r="E267" s="3">
        <v>44944</v>
      </c>
      <c r="F267" s="4">
        <v>18500</v>
      </c>
      <c r="G267" s="4">
        <v>20000</v>
      </c>
      <c r="H267" s="4">
        <v>20000</v>
      </c>
      <c r="I267" s="4">
        <v>20000</v>
      </c>
      <c r="J267" s="4"/>
    </row>
    <row r="268" spans="1:10" x14ac:dyDescent="0.2">
      <c r="A268" s="54" t="s">
        <v>2235</v>
      </c>
      <c r="C268" s="11"/>
      <c r="D268" s="11">
        <v>20000</v>
      </c>
      <c r="F268" s="4"/>
      <c r="G268" s="4"/>
      <c r="H268" s="4"/>
      <c r="I268" s="4"/>
      <c r="J268" s="4"/>
    </row>
    <row r="269" spans="1:10" x14ac:dyDescent="0.2">
      <c r="C269" s="11"/>
      <c r="D269" s="11"/>
      <c r="F269" s="4"/>
      <c r="G269" s="4"/>
      <c r="H269" s="4"/>
      <c r="I269" s="4"/>
      <c r="J269" s="4"/>
    </row>
    <row r="270" spans="1:10" x14ac:dyDescent="0.2">
      <c r="A270" s="497" t="s">
        <v>698</v>
      </c>
      <c r="E270" s="3">
        <v>4083</v>
      </c>
      <c r="F270" s="4">
        <v>7300</v>
      </c>
      <c r="G270" s="4">
        <v>7900</v>
      </c>
      <c r="H270" s="4">
        <v>7900</v>
      </c>
      <c r="I270" s="4">
        <v>7900</v>
      </c>
      <c r="J270" s="4"/>
    </row>
    <row r="271" spans="1:10" x14ac:dyDescent="0.2">
      <c r="A271" s="3" t="s">
        <v>2236</v>
      </c>
      <c r="D271" s="3">
        <v>7900</v>
      </c>
      <c r="F271" s="4"/>
      <c r="G271" s="4"/>
      <c r="H271" s="4"/>
      <c r="I271" s="4"/>
      <c r="J271" s="4"/>
    </row>
    <row r="272" spans="1:10" x14ac:dyDescent="0.2">
      <c r="A272" s="3" t="s">
        <v>2237</v>
      </c>
      <c r="F272" s="4"/>
      <c r="G272" s="4"/>
      <c r="H272" s="4"/>
      <c r="I272" s="4"/>
      <c r="J272" s="4"/>
    </row>
    <row r="273" spans="1:10" x14ac:dyDescent="0.2">
      <c r="F273" s="4"/>
      <c r="G273" s="4"/>
      <c r="H273" s="4"/>
      <c r="I273" s="4"/>
      <c r="J273" s="4"/>
    </row>
    <row r="274" spans="1:10" ht="13.5" x14ac:dyDescent="0.25">
      <c r="A274" s="55" t="s">
        <v>289</v>
      </c>
      <c r="D274" s="3">
        <v>100000</v>
      </c>
      <c r="E274" s="3">
        <v>85352</v>
      </c>
      <c r="F274" s="4">
        <v>100000</v>
      </c>
      <c r="G274" s="4">
        <v>100000</v>
      </c>
      <c r="H274" s="4">
        <v>100000</v>
      </c>
      <c r="I274" s="4">
        <v>100000</v>
      </c>
      <c r="J274" s="4"/>
    </row>
    <row r="275" spans="1:10" x14ac:dyDescent="0.2">
      <c r="A275" s="3" t="s">
        <v>574</v>
      </c>
      <c r="F275" s="4"/>
      <c r="G275" s="4"/>
      <c r="H275" s="4"/>
      <c r="I275" s="4"/>
      <c r="J275" s="4"/>
    </row>
    <row r="276" spans="1:10" x14ac:dyDescent="0.2">
      <c r="A276" s="3" t="s">
        <v>91</v>
      </c>
      <c r="F276" s="4"/>
      <c r="G276" s="4"/>
      <c r="H276" s="4"/>
      <c r="I276" s="4"/>
      <c r="J276" s="4"/>
    </row>
    <row r="277" spans="1:10" x14ac:dyDescent="0.2">
      <c r="A277" s="3" t="s">
        <v>2238</v>
      </c>
      <c r="F277" s="4"/>
      <c r="G277" s="4"/>
      <c r="H277" s="4"/>
      <c r="I277" s="4"/>
      <c r="J277" s="4"/>
    </row>
    <row r="278" spans="1:10" x14ac:dyDescent="0.2">
      <c r="F278" s="4"/>
      <c r="G278" s="4"/>
      <c r="H278" s="4"/>
      <c r="I278" s="4"/>
      <c r="J278" s="4"/>
    </row>
    <row r="279" spans="1:10" ht="13.5" x14ac:dyDescent="0.25">
      <c r="A279" s="55" t="s">
        <v>290</v>
      </c>
      <c r="B279" s="22"/>
      <c r="C279" s="22"/>
      <c r="D279" s="22"/>
      <c r="E279" s="3">
        <v>8343</v>
      </c>
      <c r="F279" s="4">
        <v>6500</v>
      </c>
      <c r="G279" s="4">
        <v>6500</v>
      </c>
      <c r="H279" s="4">
        <v>6500</v>
      </c>
      <c r="I279" s="4">
        <v>6500</v>
      </c>
      <c r="J279" s="4"/>
    </row>
    <row r="280" spans="1:10" x14ac:dyDescent="0.2">
      <c r="A280" s="3" t="s">
        <v>1420</v>
      </c>
      <c r="D280" s="3">
        <v>1500</v>
      </c>
      <c r="F280" s="4"/>
      <c r="G280" s="4"/>
      <c r="H280" s="4"/>
      <c r="I280" s="4"/>
      <c r="J280" s="4"/>
    </row>
    <row r="281" spans="1:10" x14ac:dyDescent="0.2">
      <c r="A281" s="3" t="s">
        <v>1601</v>
      </c>
      <c r="D281" s="3">
        <v>3500</v>
      </c>
      <c r="F281" s="4"/>
      <c r="G281" s="4"/>
      <c r="H281" s="4"/>
      <c r="I281" s="4"/>
      <c r="J281" s="4"/>
    </row>
    <row r="282" spans="1:10" ht="15" x14ac:dyDescent="0.35">
      <c r="A282" s="3" t="s">
        <v>2239</v>
      </c>
      <c r="C282" s="14"/>
      <c r="D282" s="14">
        <v>1500</v>
      </c>
      <c r="F282" s="4"/>
      <c r="G282" s="4"/>
      <c r="H282" s="4"/>
      <c r="I282" s="4"/>
      <c r="J282" s="4"/>
    </row>
    <row r="283" spans="1:10" x14ac:dyDescent="0.2">
      <c r="A283" s="28" t="s">
        <v>1320</v>
      </c>
      <c r="D283" s="3">
        <f>SUM(D280:D282)</f>
        <v>6500</v>
      </c>
      <c r="F283" s="4"/>
      <c r="G283" s="4"/>
      <c r="H283" s="4"/>
      <c r="I283" s="4"/>
      <c r="J283" s="4"/>
    </row>
    <row r="284" spans="1:10" x14ac:dyDescent="0.2">
      <c r="F284" s="4"/>
      <c r="G284" s="4"/>
      <c r="H284" s="4"/>
      <c r="I284" s="4"/>
      <c r="J284" s="4"/>
    </row>
    <row r="285" spans="1:10" ht="13.5" x14ac:dyDescent="0.25">
      <c r="A285" s="55" t="s">
        <v>770</v>
      </c>
      <c r="B285" s="11"/>
      <c r="C285" s="11"/>
      <c r="D285" s="11"/>
      <c r="E285" s="3">
        <v>300</v>
      </c>
      <c r="F285" s="4">
        <v>5400</v>
      </c>
      <c r="G285" s="4">
        <v>5400</v>
      </c>
      <c r="H285" s="4">
        <v>5400</v>
      </c>
      <c r="I285" s="4">
        <v>5400</v>
      </c>
      <c r="J285" s="4"/>
    </row>
    <row r="286" spans="1:10" x14ac:dyDescent="0.2">
      <c r="A286" s="3" t="s">
        <v>2240</v>
      </c>
      <c r="F286" s="4"/>
      <c r="G286" s="4"/>
      <c r="H286" s="4"/>
      <c r="I286" s="4"/>
      <c r="J286" s="4"/>
    </row>
    <row r="287" spans="1:10" ht="15" x14ac:dyDescent="0.35">
      <c r="A287" s="3" t="s">
        <v>2241</v>
      </c>
      <c r="C287" s="14"/>
      <c r="D287" s="3">
        <v>5400</v>
      </c>
      <c r="F287" s="4"/>
      <c r="G287" s="4"/>
      <c r="H287" s="4"/>
      <c r="I287" s="4"/>
      <c r="J287" s="4"/>
    </row>
    <row r="288" spans="1:10" x14ac:dyDescent="0.2">
      <c r="A288" s="28"/>
      <c r="F288" s="4"/>
      <c r="G288" s="4"/>
      <c r="H288" s="4"/>
      <c r="I288" s="4"/>
      <c r="J288" s="4"/>
    </row>
    <row r="289" spans="1:10" ht="13.5" x14ac:dyDescent="0.25">
      <c r="A289" s="55" t="s">
        <v>291</v>
      </c>
      <c r="E289" s="3">
        <v>13379</v>
      </c>
      <c r="F289" s="4">
        <v>17920</v>
      </c>
      <c r="G289" s="4">
        <v>19950</v>
      </c>
      <c r="H289" s="4">
        <v>19950</v>
      </c>
      <c r="I289" s="4">
        <v>19950</v>
      </c>
      <c r="J289" s="4"/>
    </row>
    <row r="290" spans="1:10" x14ac:dyDescent="0.2">
      <c r="B290" s="11"/>
      <c r="C290" s="11"/>
      <c r="D290" s="11"/>
      <c r="F290" s="4"/>
      <c r="G290" s="4"/>
      <c r="H290" s="4"/>
      <c r="I290" s="4"/>
      <c r="J290" s="4"/>
    </row>
    <row r="291" spans="1:10" x14ac:dyDescent="0.2">
      <c r="A291" s="3" t="s">
        <v>2242</v>
      </c>
      <c r="B291" s="3">
        <v>1</v>
      </c>
      <c r="C291" s="3">
        <v>7900</v>
      </c>
      <c r="D291" s="3">
        <f t="shared" ref="D291:D296" si="17">C291*B291</f>
        <v>7900</v>
      </c>
      <c r="F291" s="4"/>
      <c r="G291" s="437"/>
      <c r="H291" s="437"/>
      <c r="I291" s="437"/>
      <c r="J291" s="437"/>
    </row>
    <row r="292" spans="1:10" x14ac:dyDescent="0.2">
      <c r="A292" s="3" t="s">
        <v>2243</v>
      </c>
      <c r="B292" s="3">
        <v>0</v>
      </c>
      <c r="C292" s="3">
        <v>50</v>
      </c>
      <c r="D292" s="3">
        <f t="shared" si="17"/>
        <v>0</v>
      </c>
      <c r="F292" s="4"/>
      <c r="G292" s="437"/>
      <c r="H292" s="437"/>
      <c r="I292" s="437"/>
      <c r="J292" s="437"/>
    </row>
    <row r="293" spans="1:10" x14ac:dyDescent="0.2">
      <c r="A293" s="3" t="s">
        <v>1585</v>
      </c>
      <c r="B293" s="3">
        <v>1</v>
      </c>
      <c r="C293" s="3">
        <v>1750</v>
      </c>
      <c r="D293" s="3">
        <f t="shared" si="17"/>
        <v>1750</v>
      </c>
      <c r="F293" s="4"/>
      <c r="G293" s="437"/>
      <c r="H293" s="437"/>
      <c r="I293" s="437"/>
      <c r="J293" s="437"/>
    </row>
    <row r="294" spans="1:10" x14ac:dyDescent="0.2">
      <c r="A294" s="3" t="s">
        <v>2244</v>
      </c>
      <c r="B294" s="3">
        <v>8</v>
      </c>
      <c r="C294" s="3">
        <v>600</v>
      </c>
      <c r="D294" s="3">
        <f t="shared" si="17"/>
        <v>4800</v>
      </c>
      <c r="F294" s="4"/>
      <c r="G294" s="437"/>
      <c r="H294" s="437"/>
      <c r="I294" s="437"/>
      <c r="J294" s="437"/>
    </row>
    <row r="295" spans="1:10" x14ac:dyDescent="0.2">
      <c r="A295" s="3" t="s">
        <v>2055</v>
      </c>
      <c r="B295" s="3">
        <v>3</v>
      </c>
      <c r="C295" s="3">
        <v>250</v>
      </c>
      <c r="D295" s="3">
        <f t="shared" si="17"/>
        <v>750</v>
      </c>
      <c r="F295" s="4"/>
      <c r="G295" s="437"/>
      <c r="H295" s="437"/>
      <c r="I295" s="437"/>
      <c r="J295" s="437"/>
    </row>
    <row r="296" spans="1:10" ht="15" x14ac:dyDescent="0.35">
      <c r="A296" s="3" t="s">
        <v>2245</v>
      </c>
      <c r="B296" s="3">
        <v>1</v>
      </c>
      <c r="C296" s="3">
        <v>4750</v>
      </c>
      <c r="D296" s="14">
        <f t="shared" si="17"/>
        <v>4750</v>
      </c>
      <c r="F296" s="4"/>
      <c r="G296" s="437"/>
      <c r="H296" s="437"/>
      <c r="I296" s="437"/>
      <c r="J296" s="437"/>
    </row>
    <row r="297" spans="1:10" x14ac:dyDescent="0.2">
      <c r="A297" s="11" t="s">
        <v>1320</v>
      </c>
      <c r="D297" s="3">
        <f>SUM(D291:D296)</f>
        <v>19950</v>
      </c>
      <c r="F297" s="4"/>
      <c r="G297" s="437"/>
      <c r="H297" s="437"/>
      <c r="I297" s="437"/>
      <c r="J297" s="437"/>
    </row>
    <row r="298" spans="1:10" x14ac:dyDescent="0.2">
      <c r="F298" s="4"/>
      <c r="G298" s="4"/>
      <c r="H298" s="4"/>
      <c r="I298" s="4"/>
      <c r="J298" s="4"/>
    </row>
    <row r="299" spans="1:10" ht="13.5" x14ac:dyDescent="0.25">
      <c r="A299" s="55" t="s">
        <v>292</v>
      </c>
      <c r="B299" s="11"/>
      <c r="C299" s="11"/>
      <c r="D299" s="11"/>
      <c r="E299" s="3">
        <v>45612</v>
      </c>
      <c r="F299" s="4">
        <v>70177</v>
      </c>
      <c r="G299" s="4">
        <v>70177</v>
      </c>
      <c r="H299" s="4">
        <v>70177</v>
      </c>
      <c r="I299" s="4">
        <v>70177</v>
      </c>
      <c r="J299" s="4"/>
    </row>
    <row r="300" spans="1:10" ht="13.5" x14ac:dyDescent="0.25">
      <c r="A300" s="56" t="s">
        <v>1602</v>
      </c>
      <c r="B300" s="11"/>
      <c r="C300" s="11"/>
      <c r="D300" s="11"/>
      <c r="F300" s="4"/>
      <c r="G300" s="4"/>
      <c r="H300" s="4"/>
      <c r="I300" s="4"/>
      <c r="J300" s="4"/>
    </row>
    <row r="301" spans="1:10" x14ac:dyDescent="0.2">
      <c r="A301" s="53" t="s">
        <v>980</v>
      </c>
      <c r="B301" s="3">
        <v>1</v>
      </c>
      <c r="C301" s="3">
        <v>12000</v>
      </c>
      <c r="D301" s="3">
        <f>B301*C301</f>
        <v>12000</v>
      </c>
      <c r="F301" s="4"/>
      <c r="G301" s="4"/>
      <c r="H301" s="4"/>
      <c r="I301" s="4"/>
      <c r="J301" s="4"/>
    </row>
    <row r="302" spans="1:10" x14ac:dyDescent="0.2">
      <c r="A302" s="53" t="s">
        <v>981</v>
      </c>
      <c r="B302" s="3">
        <v>1</v>
      </c>
      <c r="C302" s="3">
        <v>2500</v>
      </c>
      <c r="D302" s="3">
        <f>C302*B302</f>
        <v>2500</v>
      </c>
      <c r="F302" s="4"/>
      <c r="G302" s="4"/>
      <c r="H302" s="4"/>
      <c r="I302" s="4"/>
      <c r="J302" s="4"/>
    </row>
    <row r="303" spans="1:10" ht="13.5" x14ac:dyDescent="0.25">
      <c r="A303" s="56" t="s">
        <v>1586</v>
      </c>
      <c r="F303" s="4"/>
      <c r="G303" s="4"/>
      <c r="H303" s="4"/>
      <c r="I303" s="4"/>
      <c r="J303" s="4"/>
    </row>
    <row r="304" spans="1:10" x14ac:dyDescent="0.2">
      <c r="A304" s="3" t="s">
        <v>2496</v>
      </c>
      <c r="B304" s="3">
        <v>1</v>
      </c>
      <c r="C304" s="3">
        <v>17132</v>
      </c>
      <c r="D304" s="3">
        <f t="shared" ref="D304:D312" si="18">C304*B304</f>
        <v>17132</v>
      </c>
      <c r="F304" s="4"/>
      <c r="G304" s="4"/>
      <c r="H304" s="4"/>
      <c r="I304" s="4"/>
      <c r="J304" s="4"/>
    </row>
    <row r="305" spans="1:10" x14ac:dyDescent="0.2">
      <c r="A305" s="3" t="s">
        <v>2246</v>
      </c>
      <c r="B305" s="3">
        <v>14</v>
      </c>
      <c r="C305" s="3">
        <v>30</v>
      </c>
      <c r="D305" s="3">
        <f t="shared" si="18"/>
        <v>420</v>
      </c>
      <c r="F305" s="4"/>
      <c r="G305" s="4"/>
      <c r="H305" s="4"/>
      <c r="I305" s="4"/>
      <c r="J305" s="4"/>
    </row>
    <row r="306" spans="1:10" x14ac:dyDescent="0.2">
      <c r="A306" s="3" t="s">
        <v>2247</v>
      </c>
      <c r="B306" s="3">
        <v>25</v>
      </c>
      <c r="C306" s="3">
        <v>25</v>
      </c>
      <c r="D306" s="3">
        <f t="shared" si="18"/>
        <v>625</v>
      </c>
      <c r="F306" s="4"/>
      <c r="G306" s="4"/>
      <c r="H306" s="4"/>
      <c r="I306" s="4"/>
      <c r="J306" s="4"/>
    </row>
    <row r="307" spans="1:10" x14ac:dyDescent="0.2">
      <c r="A307" s="3" t="s">
        <v>2248</v>
      </c>
      <c r="B307" s="3">
        <v>20</v>
      </c>
      <c r="C307" s="3">
        <v>140</v>
      </c>
      <c r="D307" s="3">
        <f t="shared" si="18"/>
        <v>2800</v>
      </c>
      <c r="F307" s="4"/>
      <c r="G307" s="4"/>
      <c r="H307" s="4"/>
      <c r="I307" s="4"/>
      <c r="J307" s="4"/>
    </row>
    <row r="308" spans="1:10" x14ac:dyDescent="0.2">
      <c r="A308" s="3" t="s">
        <v>1940</v>
      </c>
      <c r="B308" s="3">
        <v>3</v>
      </c>
      <c r="C308" s="3">
        <v>1800</v>
      </c>
      <c r="D308" s="3">
        <f t="shared" si="18"/>
        <v>5400</v>
      </c>
      <c r="F308" s="4"/>
      <c r="G308" s="4"/>
      <c r="H308" s="4"/>
      <c r="I308" s="4"/>
      <c r="J308" s="4"/>
    </row>
    <row r="309" spans="1:10" x14ac:dyDescent="0.2">
      <c r="A309" s="54" t="s">
        <v>1943</v>
      </c>
      <c r="B309" s="3">
        <v>1</v>
      </c>
      <c r="C309" s="3">
        <v>11800</v>
      </c>
      <c r="D309" s="3">
        <f>C309*B309</f>
        <v>11800</v>
      </c>
      <c r="F309" s="4"/>
      <c r="G309" s="4"/>
      <c r="H309" s="4"/>
      <c r="I309" s="4"/>
      <c r="J309" s="4"/>
    </row>
    <row r="310" spans="1:10" ht="13.5" x14ac:dyDescent="0.25">
      <c r="A310" s="56" t="s">
        <v>1399</v>
      </c>
      <c r="D310" s="3">
        <f t="shared" si="18"/>
        <v>0</v>
      </c>
      <c r="F310" s="4"/>
      <c r="G310" s="4"/>
      <c r="H310" s="4"/>
      <c r="I310" s="4"/>
      <c r="J310" s="4"/>
    </row>
    <row r="311" spans="1:10" x14ac:dyDescent="0.2">
      <c r="A311" s="3" t="s">
        <v>1632</v>
      </c>
      <c r="B311" s="3">
        <v>28</v>
      </c>
      <c r="C311" s="3">
        <v>375</v>
      </c>
      <c r="D311" s="3">
        <f t="shared" si="18"/>
        <v>10500</v>
      </c>
      <c r="F311" s="4"/>
      <c r="G311" s="4"/>
      <c r="H311" s="4"/>
      <c r="I311" s="4"/>
      <c r="J311" s="4"/>
    </row>
    <row r="312" spans="1:10" x14ac:dyDescent="0.2">
      <c r="A312" s="3" t="s">
        <v>2249</v>
      </c>
      <c r="B312" s="3">
        <v>9</v>
      </c>
      <c r="C312" s="3">
        <v>500</v>
      </c>
      <c r="D312" s="3">
        <f t="shared" si="18"/>
        <v>4500</v>
      </c>
      <c r="F312" s="4"/>
      <c r="G312" s="4"/>
      <c r="H312" s="4"/>
      <c r="I312" s="4"/>
      <c r="J312" s="4"/>
    </row>
    <row r="313" spans="1:10" ht="13.5" x14ac:dyDescent="0.25">
      <c r="A313" s="56" t="s">
        <v>2250</v>
      </c>
      <c r="F313" s="4"/>
      <c r="G313" s="4"/>
      <c r="H313" s="4"/>
      <c r="I313" s="4"/>
      <c r="J313" s="4"/>
    </row>
    <row r="314" spans="1:10" x14ac:dyDescent="0.2">
      <c r="A314" s="3" t="s">
        <v>2251</v>
      </c>
      <c r="F314" s="4"/>
      <c r="G314" s="4"/>
      <c r="H314" s="4"/>
      <c r="I314" s="4"/>
      <c r="J314" s="4"/>
    </row>
    <row r="315" spans="1:10" ht="15" x14ac:dyDescent="0.35">
      <c r="A315" s="3" t="s">
        <v>2252</v>
      </c>
      <c r="B315" s="3">
        <v>1</v>
      </c>
      <c r="C315" s="3">
        <v>2500</v>
      </c>
      <c r="D315" s="14">
        <v>2500</v>
      </c>
      <c r="F315" s="4"/>
      <c r="G315" s="4"/>
      <c r="H315" s="4"/>
      <c r="I315" s="4"/>
      <c r="J315" s="4"/>
    </row>
    <row r="316" spans="1:10" x14ac:dyDescent="0.2">
      <c r="A316" s="28" t="s">
        <v>1320</v>
      </c>
      <c r="D316" s="3">
        <f>SUM(D301:D315)</f>
        <v>70177</v>
      </c>
      <c r="F316" s="4"/>
      <c r="G316" s="4"/>
      <c r="H316" s="4"/>
      <c r="I316" s="4"/>
      <c r="J316" s="4"/>
    </row>
    <row r="317" spans="1:10" x14ac:dyDescent="0.2">
      <c r="F317" s="4"/>
      <c r="G317" s="4"/>
      <c r="H317" s="4"/>
      <c r="I317" s="4"/>
      <c r="J317" s="4"/>
    </row>
    <row r="318" spans="1:10" ht="13.5" x14ac:dyDescent="0.25">
      <c r="A318" s="55" t="s">
        <v>1486</v>
      </c>
      <c r="E318" s="3">
        <v>3198</v>
      </c>
      <c r="F318" s="4">
        <v>6750</v>
      </c>
      <c r="G318" s="4">
        <v>6750</v>
      </c>
      <c r="H318" s="4">
        <v>6750</v>
      </c>
      <c r="I318" s="4">
        <v>6750</v>
      </c>
      <c r="J318" s="4"/>
    </row>
    <row r="319" spans="1:10" x14ac:dyDescent="0.2">
      <c r="A319" s="3" t="s">
        <v>2253</v>
      </c>
      <c r="B319" s="3">
        <v>1</v>
      </c>
      <c r="C319" s="3">
        <v>2000</v>
      </c>
      <c r="D319" s="3">
        <f>C319*B319</f>
        <v>2000</v>
      </c>
      <c r="F319" s="4"/>
      <c r="G319" s="4"/>
      <c r="H319" s="4"/>
      <c r="I319" s="4"/>
      <c r="J319" s="4"/>
    </row>
    <row r="320" spans="1:10" x14ac:dyDescent="0.2">
      <c r="A320" s="3" t="s">
        <v>1941</v>
      </c>
      <c r="B320" s="3">
        <v>2</v>
      </c>
      <c r="C320" s="3">
        <v>750</v>
      </c>
      <c r="D320" s="3">
        <f>C320*B320</f>
        <v>1500</v>
      </c>
      <c r="F320" s="4"/>
      <c r="G320" s="4"/>
      <c r="H320" s="4"/>
      <c r="I320" s="4"/>
      <c r="J320" s="4"/>
    </row>
    <row r="321" spans="1:10" x14ac:dyDescent="0.2">
      <c r="A321" s="3" t="s">
        <v>2254</v>
      </c>
      <c r="B321" s="3">
        <v>50</v>
      </c>
      <c r="C321" s="3">
        <v>35</v>
      </c>
      <c r="D321" s="3">
        <f>C321*B321</f>
        <v>1750</v>
      </c>
      <c r="F321" s="4"/>
      <c r="G321" s="4"/>
      <c r="H321" s="4"/>
      <c r="I321" s="4"/>
      <c r="J321" s="4"/>
    </row>
    <row r="322" spans="1:10" ht="15" x14ac:dyDescent="0.35">
      <c r="A322" s="3" t="s">
        <v>1915</v>
      </c>
      <c r="D322" s="33">
        <v>1500</v>
      </c>
      <c r="F322" s="4"/>
      <c r="G322" s="4"/>
      <c r="H322" s="4"/>
      <c r="I322" s="4"/>
      <c r="J322" s="4"/>
    </row>
    <row r="323" spans="1:10" x14ac:dyDescent="0.2">
      <c r="A323" s="28" t="s">
        <v>1320</v>
      </c>
      <c r="D323" s="3">
        <f>SUM(D319:D322)</f>
        <v>6750</v>
      </c>
      <c r="F323" s="4"/>
      <c r="G323" s="4"/>
      <c r="H323" s="4"/>
      <c r="I323" s="4"/>
      <c r="J323" s="4"/>
    </row>
    <row r="324" spans="1:10" x14ac:dyDescent="0.2">
      <c r="A324" s="28"/>
      <c r="F324" s="4"/>
      <c r="G324" s="4"/>
      <c r="H324" s="4"/>
      <c r="I324" s="4"/>
      <c r="J324" s="4"/>
    </row>
    <row r="325" spans="1:10" ht="13.5" x14ac:dyDescent="0.25">
      <c r="A325" s="55" t="s">
        <v>684</v>
      </c>
      <c r="B325" s="11"/>
      <c r="C325" s="11"/>
      <c r="D325" s="11"/>
      <c r="E325" s="3">
        <v>2704</v>
      </c>
      <c r="F325" s="4">
        <v>7330</v>
      </c>
      <c r="G325" s="4">
        <v>7330</v>
      </c>
      <c r="H325" s="4">
        <v>7330</v>
      </c>
      <c r="I325" s="4">
        <v>7330</v>
      </c>
      <c r="J325" s="4"/>
    </row>
    <row r="326" spans="1:10" x14ac:dyDescent="0.2">
      <c r="A326" s="3" t="s">
        <v>1456</v>
      </c>
      <c r="B326" s="3">
        <v>1</v>
      </c>
      <c r="C326" s="3">
        <v>430</v>
      </c>
      <c r="D326" s="3">
        <f>C326*B326</f>
        <v>430</v>
      </c>
      <c r="F326" s="4"/>
      <c r="G326" s="4"/>
      <c r="H326" s="4"/>
      <c r="I326" s="4"/>
      <c r="J326" s="4"/>
    </row>
    <row r="327" spans="1:10" x14ac:dyDescent="0.2">
      <c r="A327" s="3" t="s">
        <v>2147</v>
      </c>
      <c r="B327" s="3">
        <v>2</v>
      </c>
      <c r="C327" s="3">
        <v>200</v>
      </c>
      <c r="D327" s="3">
        <f>C327*B327</f>
        <v>400</v>
      </c>
      <c r="F327" s="4"/>
      <c r="G327" s="4"/>
      <c r="H327" s="4"/>
      <c r="I327" s="4"/>
      <c r="J327" s="4"/>
    </row>
    <row r="328" spans="1:10" x14ac:dyDescent="0.2">
      <c r="A328" s="341" t="s">
        <v>2056</v>
      </c>
      <c r="B328" s="341">
        <v>1</v>
      </c>
      <c r="C328" s="341">
        <v>2000</v>
      </c>
      <c r="D328" s="3">
        <f>C328*B328</f>
        <v>2000</v>
      </c>
      <c r="F328" s="4"/>
      <c r="G328" s="4"/>
      <c r="H328" s="4"/>
      <c r="I328" s="4"/>
      <c r="J328" s="4"/>
    </row>
    <row r="329" spans="1:10" x14ac:dyDescent="0.2">
      <c r="A329" s="3" t="s">
        <v>2148</v>
      </c>
      <c r="B329" s="1">
        <v>5</v>
      </c>
      <c r="C329" s="11">
        <v>300</v>
      </c>
      <c r="D329" s="3">
        <f>C329*B329</f>
        <v>1500</v>
      </c>
      <c r="F329" s="4"/>
      <c r="G329" s="4"/>
      <c r="H329" s="4"/>
      <c r="I329" s="4"/>
      <c r="J329" s="4"/>
    </row>
    <row r="330" spans="1:10" ht="15" x14ac:dyDescent="0.35">
      <c r="A330" s="3" t="s">
        <v>664</v>
      </c>
      <c r="B330" s="3">
        <v>1</v>
      </c>
      <c r="C330" s="3">
        <v>3000</v>
      </c>
      <c r="D330" s="14">
        <f>C330*B330</f>
        <v>3000</v>
      </c>
      <c r="F330" s="4"/>
      <c r="G330" s="4"/>
      <c r="H330" s="4"/>
      <c r="I330" s="4"/>
      <c r="J330" s="4"/>
    </row>
    <row r="331" spans="1:10" x14ac:dyDescent="0.2">
      <c r="A331" s="28" t="s">
        <v>1320</v>
      </c>
      <c r="D331" s="3">
        <f>SUM(D326:D330)</f>
        <v>7330</v>
      </c>
      <c r="F331" s="4"/>
      <c r="G331" s="4"/>
      <c r="H331" s="4"/>
      <c r="I331" s="4"/>
      <c r="J331" s="4"/>
    </row>
    <row r="332" spans="1:10" x14ac:dyDescent="0.2">
      <c r="F332" s="4"/>
      <c r="G332" s="4"/>
      <c r="H332" s="4"/>
      <c r="I332" s="4"/>
      <c r="J332" s="4"/>
    </row>
    <row r="333" spans="1:10" ht="13.5" x14ac:dyDescent="0.25">
      <c r="A333" s="55" t="s">
        <v>1017</v>
      </c>
      <c r="E333" s="3">
        <v>6404</v>
      </c>
      <c r="F333" s="4">
        <v>0</v>
      </c>
      <c r="G333" s="4">
        <v>0</v>
      </c>
      <c r="H333" s="4">
        <v>0</v>
      </c>
      <c r="I333" s="4">
        <v>0</v>
      </c>
      <c r="J333" s="4"/>
    </row>
    <row r="334" spans="1:10" x14ac:dyDescent="0.2">
      <c r="A334" s="3" t="s">
        <v>2255</v>
      </c>
      <c r="B334" s="3">
        <v>0</v>
      </c>
      <c r="C334" s="3">
        <v>3800</v>
      </c>
      <c r="D334" s="3">
        <f>C334*B334</f>
        <v>0</v>
      </c>
      <c r="F334" s="4"/>
      <c r="G334" s="4"/>
      <c r="H334" s="4"/>
      <c r="I334" s="4"/>
      <c r="J334" s="4"/>
    </row>
    <row r="335" spans="1:10" x14ac:dyDescent="0.2">
      <c r="F335" s="4"/>
      <c r="G335" s="4"/>
      <c r="H335" s="4"/>
      <c r="I335" s="4"/>
      <c r="J335" s="4"/>
    </row>
    <row r="336" spans="1:10" ht="13.5" x14ac:dyDescent="0.25">
      <c r="A336" s="55" t="s">
        <v>565</v>
      </c>
      <c r="E336" s="3">
        <v>0</v>
      </c>
      <c r="F336" s="4">
        <v>700</v>
      </c>
      <c r="G336" s="4">
        <v>700</v>
      </c>
      <c r="H336" s="4">
        <v>700</v>
      </c>
      <c r="I336" s="4">
        <v>700</v>
      </c>
      <c r="J336" s="4"/>
    </row>
    <row r="337" spans="1:10" x14ac:dyDescent="0.2">
      <c r="A337" s="3" t="s">
        <v>2256</v>
      </c>
      <c r="B337" s="3">
        <v>1</v>
      </c>
      <c r="C337" s="3">
        <v>700</v>
      </c>
      <c r="D337" s="3">
        <f>C337*B337</f>
        <v>700</v>
      </c>
      <c r="F337" s="4"/>
      <c r="G337" s="4"/>
      <c r="H337" s="4"/>
      <c r="I337" s="4"/>
      <c r="J337" s="4"/>
    </row>
    <row r="338" spans="1:10" x14ac:dyDescent="0.2">
      <c r="F338" s="4"/>
      <c r="G338" s="4"/>
      <c r="H338" s="4"/>
      <c r="I338" s="4"/>
      <c r="J338" s="4"/>
    </row>
    <row r="339" spans="1:10" ht="13.5" x14ac:dyDescent="0.25">
      <c r="A339" s="55" t="s">
        <v>566</v>
      </c>
      <c r="B339" s="11"/>
      <c r="C339" s="11"/>
      <c r="D339" s="11"/>
      <c r="E339" s="3">
        <v>18872</v>
      </c>
      <c r="F339" s="4">
        <v>21665</v>
      </c>
      <c r="G339" s="4">
        <v>21665</v>
      </c>
      <c r="H339" s="4">
        <v>21665</v>
      </c>
      <c r="I339" s="4">
        <v>21665</v>
      </c>
      <c r="J339" s="4"/>
    </row>
    <row r="340" spans="1:10" x14ac:dyDescent="0.2">
      <c r="A340" s="3" t="s">
        <v>2497</v>
      </c>
      <c r="B340" s="3">
        <v>1</v>
      </c>
      <c r="C340" s="3">
        <v>16500</v>
      </c>
      <c r="D340" s="3">
        <f>+C340*B340</f>
        <v>16500</v>
      </c>
      <c r="F340" s="4"/>
      <c r="G340" s="4"/>
      <c r="H340" s="4"/>
      <c r="I340" s="4"/>
      <c r="J340" s="4"/>
    </row>
    <row r="341" spans="1:10" x14ac:dyDescent="0.2">
      <c r="A341" s="3" t="s">
        <v>2257</v>
      </c>
      <c r="B341" s="3">
        <v>4</v>
      </c>
      <c r="C341" s="3">
        <v>650</v>
      </c>
      <c r="D341" s="3">
        <f>PRODUCT(B341,C341)</f>
        <v>2600</v>
      </c>
      <c r="F341" s="4"/>
      <c r="G341" s="4"/>
      <c r="H341" s="4"/>
      <c r="I341" s="4"/>
      <c r="J341" s="4"/>
    </row>
    <row r="342" spans="1:10" ht="15" x14ac:dyDescent="0.35">
      <c r="A342" s="3" t="s">
        <v>2258</v>
      </c>
      <c r="B342" s="3">
        <v>19</v>
      </c>
      <c r="C342" s="3">
        <v>135</v>
      </c>
      <c r="D342" s="14">
        <f>PRODUCT(B342,C342)</f>
        <v>2565</v>
      </c>
      <c r="F342" s="4"/>
      <c r="G342" s="4"/>
      <c r="H342" s="4"/>
      <c r="I342" s="4"/>
      <c r="J342" s="4"/>
    </row>
    <row r="343" spans="1:10" x14ac:dyDescent="0.2">
      <c r="A343" s="28" t="s">
        <v>1320</v>
      </c>
      <c r="D343" s="3">
        <f>SUM(D340:D342)</f>
        <v>21665</v>
      </c>
      <c r="F343" s="4"/>
      <c r="G343" s="4"/>
      <c r="H343" s="4"/>
      <c r="I343" s="4"/>
      <c r="J343" s="4"/>
    </row>
    <row r="344" spans="1:10" x14ac:dyDescent="0.2">
      <c r="F344" s="4"/>
      <c r="G344" s="4"/>
      <c r="H344" s="4"/>
      <c r="I344" s="4"/>
      <c r="J344" s="4"/>
    </row>
    <row r="345" spans="1:10" ht="13.5" x14ac:dyDescent="0.25">
      <c r="A345" s="55" t="s">
        <v>567</v>
      </c>
      <c r="B345" s="11"/>
      <c r="C345" s="11"/>
      <c r="D345" s="11"/>
      <c r="E345" s="3">
        <v>27803</v>
      </c>
      <c r="F345" s="4">
        <v>1400</v>
      </c>
      <c r="G345" s="4">
        <v>1400</v>
      </c>
      <c r="H345" s="4">
        <v>1400</v>
      </c>
      <c r="I345" s="4">
        <v>1400</v>
      </c>
      <c r="J345" s="4"/>
    </row>
    <row r="346" spans="1:10" ht="13.5" x14ac:dyDescent="0.25">
      <c r="A346" s="55" t="s">
        <v>871</v>
      </c>
      <c r="B346" s="11"/>
      <c r="C346" s="11"/>
      <c r="D346" s="11"/>
      <c r="F346" s="4"/>
      <c r="G346" s="4"/>
      <c r="H346" s="4"/>
      <c r="I346" s="4"/>
      <c r="J346" s="4"/>
    </row>
    <row r="347" spans="1:10" ht="15" x14ac:dyDescent="0.35">
      <c r="A347" s="3" t="s">
        <v>2259</v>
      </c>
      <c r="B347" s="3">
        <v>1</v>
      </c>
      <c r="C347" s="11">
        <v>1400</v>
      </c>
      <c r="D347" s="12">
        <f>C347*B347</f>
        <v>1400</v>
      </c>
      <c r="F347" s="4"/>
      <c r="G347" s="4"/>
      <c r="H347" s="4"/>
      <c r="I347" s="4"/>
      <c r="J347" s="4"/>
    </row>
    <row r="348" spans="1:10" ht="15" x14ac:dyDescent="0.35">
      <c r="C348" s="11"/>
      <c r="D348" s="12"/>
      <c r="F348" s="4"/>
      <c r="G348" s="4"/>
      <c r="H348" s="4"/>
      <c r="I348" s="4"/>
      <c r="J348" s="4"/>
    </row>
    <row r="349" spans="1:10" ht="13.5" x14ac:dyDescent="0.25">
      <c r="A349" s="55" t="s">
        <v>2291</v>
      </c>
      <c r="B349" s="11"/>
      <c r="C349" s="11"/>
      <c r="D349" s="11"/>
      <c r="E349" s="3">
        <v>40544</v>
      </c>
      <c r="F349" s="4">
        <v>0</v>
      </c>
      <c r="G349" s="4">
        <v>0</v>
      </c>
      <c r="H349" s="4">
        <v>0</v>
      </c>
      <c r="I349" s="4">
        <v>0</v>
      </c>
      <c r="J349" s="4"/>
    </row>
    <row r="350" spans="1:10" ht="15" x14ac:dyDescent="0.35">
      <c r="C350" s="11"/>
      <c r="D350" s="12"/>
      <c r="F350" s="4"/>
      <c r="G350" s="4"/>
      <c r="H350" s="4"/>
      <c r="I350" s="4"/>
      <c r="J350" s="4"/>
    </row>
    <row r="351" spans="1:10" x14ac:dyDescent="0.2">
      <c r="A351" s="28" t="s">
        <v>1320</v>
      </c>
      <c r="C351" s="11"/>
      <c r="D351" s="11"/>
      <c r="F351" s="4"/>
      <c r="G351" s="4"/>
      <c r="H351" s="4"/>
      <c r="I351" s="4"/>
      <c r="J351" s="4"/>
    </row>
    <row r="352" spans="1:10" x14ac:dyDescent="0.2">
      <c r="A352" s="47"/>
      <c r="B352" s="50"/>
      <c r="C352" s="4"/>
      <c r="D352" s="4"/>
      <c r="F352" s="4"/>
      <c r="G352" s="4"/>
      <c r="H352" s="4"/>
      <c r="I352" s="4"/>
      <c r="J352" s="4"/>
    </row>
    <row r="353" spans="1:10" ht="13.5" x14ac:dyDescent="0.25">
      <c r="A353" s="55" t="s">
        <v>1100</v>
      </c>
      <c r="B353" s="11"/>
      <c r="C353" s="11"/>
      <c r="D353" s="11"/>
      <c r="E353" s="3">
        <v>3566</v>
      </c>
      <c r="F353" s="4">
        <v>6500</v>
      </c>
      <c r="G353" s="4">
        <v>6500</v>
      </c>
      <c r="H353" s="4">
        <v>6500</v>
      </c>
      <c r="I353" s="4">
        <v>6500</v>
      </c>
      <c r="J353" s="4"/>
    </row>
    <row r="354" spans="1:10" x14ac:dyDescent="0.2">
      <c r="A354" s="3" t="s">
        <v>2260</v>
      </c>
      <c r="B354" s="3">
        <v>2</v>
      </c>
      <c r="C354" s="3">
        <v>1250</v>
      </c>
      <c r="D354" s="3">
        <f>C354*B354</f>
        <v>2500</v>
      </c>
      <c r="F354" s="4"/>
      <c r="G354" s="4"/>
      <c r="H354" s="4"/>
      <c r="I354" s="4"/>
      <c r="J354" s="4"/>
    </row>
    <row r="355" spans="1:10" ht="15" x14ac:dyDescent="0.35">
      <c r="A355" s="3" t="s">
        <v>2261</v>
      </c>
      <c r="B355" s="3">
        <v>1</v>
      </c>
      <c r="C355" s="3">
        <v>4000</v>
      </c>
      <c r="D355" s="14">
        <v>4000</v>
      </c>
      <c r="F355" s="4"/>
      <c r="G355" s="4"/>
      <c r="H355" s="4"/>
      <c r="I355" s="4"/>
      <c r="J355" s="4"/>
    </row>
    <row r="356" spans="1:10" x14ac:dyDescent="0.2">
      <c r="A356" s="28" t="s">
        <v>1320</v>
      </c>
      <c r="D356" s="3">
        <f>SUM(D354:D355)</f>
        <v>6500</v>
      </c>
      <c r="F356" s="4"/>
      <c r="G356" s="4"/>
      <c r="H356" s="4"/>
      <c r="I356" s="4"/>
      <c r="J356" s="4"/>
    </row>
    <row r="357" spans="1:10" x14ac:dyDescent="0.2">
      <c r="A357" s="53"/>
      <c r="F357" s="4"/>
      <c r="G357" s="4"/>
      <c r="H357" s="4"/>
      <c r="I357" s="4"/>
      <c r="J357" s="4"/>
    </row>
    <row r="358" spans="1:10" ht="13.5" x14ac:dyDescent="0.25">
      <c r="A358" s="55" t="s">
        <v>1101</v>
      </c>
      <c r="B358" s="11"/>
      <c r="C358" s="11"/>
      <c r="D358" s="11"/>
      <c r="E358" s="3">
        <v>148117</v>
      </c>
      <c r="F358" s="4">
        <v>54000</v>
      </c>
      <c r="G358" s="4">
        <v>54000</v>
      </c>
      <c r="H358" s="4">
        <v>54000</v>
      </c>
      <c r="I358" s="4">
        <v>54000</v>
      </c>
      <c r="J358" s="4"/>
    </row>
    <row r="359" spans="1:10" x14ac:dyDescent="0.2">
      <c r="A359" s="3" t="s">
        <v>2262</v>
      </c>
      <c r="B359" s="3">
        <v>1</v>
      </c>
      <c r="C359" s="3">
        <v>18000</v>
      </c>
      <c r="D359" s="3">
        <v>18000</v>
      </c>
      <c r="F359" s="4"/>
      <c r="G359" s="4"/>
      <c r="H359" s="4"/>
      <c r="I359" s="4"/>
      <c r="J359" s="4"/>
    </row>
    <row r="360" spans="1:10" ht="15" x14ac:dyDescent="0.35">
      <c r="A360" s="3" t="s">
        <v>2498</v>
      </c>
      <c r="B360" s="3">
        <v>4</v>
      </c>
      <c r="C360" s="3">
        <v>9000</v>
      </c>
      <c r="D360" s="14">
        <f>C360*B360</f>
        <v>36000</v>
      </c>
      <c r="F360" s="4"/>
      <c r="G360" s="4"/>
      <c r="H360" s="4"/>
      <c r="I360" s="4"/>
      <c r="J360" s="4"/>
    </row>
    <row r="361" spans="1:10" x14ac:dyDescent="0.2">
      <c r="D361" s="3">
        <f>SUM(D359:D360)</f>
        <v>54000</v>
      </c>
      <c r="F361" s="4"/>
      <c r="G361" s="4"/>
      <c r="H361" s="4"/>
      <c r="I361" s="4"/>
      <c r="J361" s="4"/>
    </row>
    <row r="362" spans="1:10" x14ac:dyDescent="0.2">
      <c r="F362" s="4"/>
      <c r="G362" s="4"/>
      <c r="H362" s="4"/>
      <c r="I362" s="4"/>
      <c r="J362" s="4"/>
    </row>
    <row r="363" spans="1:10" ht="13.5" x14ac:dyDescent="0.25">
      <c r="A363" s="55" t="s">
        <v>1256</v>
      </c>
      <c r="B363" s="22"/>
      <c r="C363" s="22"/>
      <c r="D363" s="22"/>
      <c r="E363" s="3">
        <v>11148</v>
      </c>
      <c r="F363" s="4">
        <v>9038</v>
      </c>
      <c r="G363" s="4">
        <v>9038</v>
      </c>
      <c r="H363" s="4">
        <v>9038</v>
      </c>
      <c r="I363" s="4">
        <v>9038</v>
      </c>
      <c r="J363" s="4"/>
    </row>
    <row r="364" spans="1:10" x14ac:dyDescent="0.2">
      <c r="A364" s="341" t="s">
        <v>2263</v>
      </c>
      <c r="B364" s="341">
        <v>0</v>
      </c>
      <c r="C364" s="342">
        <v>4100</v>
      </c>
      <c r="D364" s="342">
        <f>C364*B364</f>
        <v>0</v>
      </c>
      <c r="F364" s="4"/>
      <c r="G364" s="4"/>
      <c r="H364" s="4"/>
      <c r="I364" s="4"/>
      <c r="J364" s="4"/>
    </row>
    <row r="365" spans="1:10" x14ac:dyDescent="0.2">
      <c r="A365" s="341" t="s">
        <v>2149</v>
      </c>
      <c r="B365" s="341">
        <v>4</v>
      </c>
      <c r="C365" s="342">
        <v>1072</v>
      </c>
      <c r="D365" s="342">
        <f>C365*B365</f>
        <v>4288</v>
      </c>
      <c r="F365" s="4"/>
      <c r="G365" s="4"/>
      <c r="H365" s="4"/>
      <c r="I365" s="4"/>
      <c r="J365" s="4"/>
    </row>
    <row r="366" spans="1:10" ht="15" x14ac:dyDescent="0.35">
      <c r="A366" s="3" t="s">
        <v>2264</v>
      </c>
      <c r="B366" s="3">
        <v>1</v>
      </c>
      <c r="C366" s="11">
        <v>4750</v>
      </c>
      <c r="D366" s="12">
        <f>C366*B366</f>
        <v>4750</v>
      </c>
      <c r="F366" s="4"/>
      <c r="G366" s="4"/>
      <c r="H366" s="4"/>
      <c r="I366" s="4"/>
      <c r="J366" s="4"/>
    </row>
    <row r="367" spans="1:10" x14ac:dyDescent="0.2">
      <c r="A367" s="28" t="s">
        <v>1320</v>
      </c>
      <c r="D367" s="3">
        <f>SUM(D364:D366)</f>
        <v>9038</v>
      </c>
      <c r="F367" s="4"/>
      <c r="G367" s="4"/>
      <c r="H367" s="4"/>
      <c r="I367" s="4"/>
      <c r="J367" s="4"/>
    </row>
    <row r="369" spans="1:11" ht="13.5" x14ac:dyDescent="0.25">
      <c r="A369" s="55" t="s">
        <v>3</v>
      </c>
      <c r="B369" s="22"/>
      <c r="C369" s="22"/>
      <c r="D369" s="22"/>
      <c r="F369" s="4"/>
      <c r="G369" s="4"/>
      <c r="H369" s="4"/>
      <c r="I369" s="4"/>
      <c r="J369" s="4"/>
    </row>
    <row r="370" spans="1:11" x14ac:dyDescent="0.2">
      <c r="A370" s="3" t="s">
        <v>589</v>
      </c>
      <c r="D370" s="3">
        <v>400000</v>
      </c>
      <c r="E370" s="3">
        <v>400000</v>
      </c>
      <c r="F370" s="3">
        <v>400000</v>
      </c>
      <c r="G370" s="3">
        <v>400000</v>
      </c>
      <c r="H370" s="3">
        <v>400000</v>
      </c>
      <c r="I370" s="3">
        <v>400000</v>
      </c>
    </row>
    <row r="371" spans="1:11" ht="15" x14ac:dyDescent="0.35">
      <c r="A371" s="3" t="s">
        <v>35</v>
      </c>
      <c r="C371" s="14"/>
      <c r="D371" s="14">
        <v>115000</v>
      </c>
      <c r="E371" s="14">
        <v>100000</v>
      </c>
      <c r="F371" s="14">
        <v>115000</v>
      </c>
      <c r="G371" s="14">
        <v>115000</v>
      </c>
      <c r="H371" s="14">
        <v>115000</v>
      </c>
      <c r="I371" s="14">
        <v>115000</v>
      </c>
      <c r="J371" s="14"/>
    </row>
    <row r="372" spans="1:11" ht="15" x14ac:dyDescent="0.35">
      <c r="A372" s="3" t="s">
        <v>1320</v>
      </c>
      <c r="D372" s="3">
        <f>SUM(D370:D371)</f>
        <v>515000</v>
      </c>
      <c r="E372" s="14">
        <f>SUM(E370:E371)</f>
        <v>500000</v>
      </c>
      <c r="F372" s="14">
        <f t="shared" ref="F372:J372" si="19">SUM(F370:F371)</f>
        <v>515000</v>
      </c>
      <c r="G372" s="14">
        <f t="shared" si="19"/>
        <v>515000</v>
      </c>
      <c r="H372" s="14">
        <f t="shared" si="19"/>
        <v>515000</v>
      </c>
      <c r="I372" s="14">
        <f t="shared" si="19"/>
        <v>515000</v>
      </c>
      <c r="J372" s="14">
        <f t="shared" si="19"/>
        <v>0</v>
      </c>
    </row>
    <row r="373" spans="1:11" x14ac:dyDescent="0.2">
      <c r="F373" s="4"/>
      <c r="G373" s="4"/>
      <c r="H373" s="4"/>
      <c r="I373" s="4"/>
      <c r="J373" s="4"/>
    </row>
    <row r="374" spans="1:11" x14ac:dyDescent="0.2">
      <c r="G374" s="4"/>
      <c r="H374" s="4"/>
      <c r="I374" s="4"/>
      <c r="J374" s="4"/>
    </row>
    <row r="375" spans="1:11" x14ac:dyDescent="0.2">
      <c r="A375" s="1" t="s">
        <v>1405</v>
      </c>
      <c r="E375" s="3">
        <f>SUM(E6:E371)-88</f>
        <v>7685062</v>
      </c>
      <c r="F375" s="3">
        <f>SUM(F6:F371)</f>
        <v>8276553</v>
      </c>
      <c r="G375" s="3">
        <f>SUM(G6:G371)</f>
        <v>8275461</v>
      </c>
      <c r="H375" s="4">
        <f>SUM(H1:H371)</f>
        <v>8262797</v>
      </c>
      <c r="I375" s="4">
        <f>SUM(I1:I371)</f>
        <v>8281351</v>
      </c>
      <c r="J375" s="4">
        <f>SUM(J1:J371)</f>
        <v>0</v>
      </c>
      <c r="K375" s="1" t="s">
        <v>2521</v>
      </c>
    </row>
    <row r="376" spans="1:11" x14ac:dyDescent="0.2">
      <c r="G376" s="4"/>
      <c r="H376" s="4"/>
      <c r="I376" s="4"/>
      <c r="J376" s="4"/>
    </row>
    <row r="377" spans="1:11" x14ac:dyDescent="0.2">
      <c r="A377" s="3" t="s">
        <v>628</v>
      </c>
      <c r="E377" s="3">
        <f t="shared" ref="E377:J377" si="20">SUM(E6:E165)</f>
        <v>6394549</v>
      </c>
      <c r="F377" s="3">
        <f t="shared" si="20"/>
        <v>7090990</v>
      </c>
      <c r="G377" s="3">
        <f t="shared" si="20"/>
        <v>7050597</v>
      </c>
      <c r="H377" s="3">
        <f t="shared" si="20"/>
        <v>7037933</v>
      </c>
      <c r="I377" s="3">
        <f t="shared" si="20"/>
        <v>7056487</v>
      </c>
      <c r="J377" s="4">
        <f t="shared" si="20"/>
        <v>0</v>
      </c>
    </row>
    <row r="378" spans="1:11" x14ac:dyDescent="0.2">
      <c r="A378" s="3" t="s">
        <v>1024</v>
      </c>
      <c r="E378" s="3">
        <f>SUM(E166:E339)-88</f>
        <v>559335</v>
      </c>
      <c r="F378" s="3">
        <f t="shared" ref="F378:J378" si="21">SUM(F166:F339)</f>
        <v>599625</v>
      </c>
      <c r="G378" s="3">
        <f t="shared" ref="G378:I378" si="22">SUM(G166:G339)</f>
        <v>638926</v>
      </c>
      <c r="H378" s="3">
        <f t="shared" si="22"/>
        <v>638926</v>
      </c>
      <c r="I378" s="3">
        <f t="shared" si="22"/>
        <v>638926</v>
      </c>
      <c r="J378" s="4">
        <f t="shared" si="21"/>
        <v>0</v>
      </c>
    </row>
    <row r="379" spans="1:11" ht="15" x14ac:dyDescent="0.35">
      <c r="A379" s="3" t="s">
        <v>1025</v>
      </c>
      <c r="E379" s="14">
        <f>SUM(E344:E371)</f>
        <v>731178</v>
      </c>
      <c r="F379" s="14">
        <f>SUM(F344:F371)</f>
        <v>585938</v>
      </c>
      <c r="G379" s="14">
        <f t="shared" ref="G379:I379" si="23">SUM(G344:G371)</f>
        <v>585938</v>
      </c>
      <c r="H379" s="14">
        <f>SUM(H344:H371)</f>
        <v>585938</v>
      </c>
      <c r="I379" s="14">
        <f t="shared" si="23"/>
        <v>585938</v>
      </c>
      <c r="J379" s="33">
        <f>SUM(J344:J371)</f>
        <v>0</v>
      </c>
      <c r="K379" s="1"/>
    </row>
    <row r="380" spans="1:11" x14ac:dyDescent="0.2">
      <c r="A380" s="3" t="s">
        <v>1320</v>
      </c>
      <c r="E380" s="3">
        <f>SUM(E377:E379)</f>
        <v>7685062</v>
      </c>
      <c r="F380" s="3">
        <f t="shared" ref="F380:J380" si="24">SUM(F377:F379)</f>
        <v>8276553</v>
      </c>
      <c r="G380" s="3">
        <f t="shared" ref="G380:I380" si="25">SUM(G377:G379)</f>
        <v>8275461</v>
      </c>
      <c r="H380" s="3">
        <f t="shared" si="25"/>
        <v>8262797</v>
      </c>
      <c r="I380" s="3">
        <f t="shared" si="25"/>
        <v>8281351</v>
      </c>
      <c r="J380" s="4">
        <f t="shared" si="24"/>
        <v>0</v>
      </c>
    </row>
    <row r="381" spans="1:11" x14ac:dyDescent="0.2">
      <c r="G381" s="348"/>
      <c r="J381" s="348"/>
    </row>
    <row r="382" spans="1:11" x14ac:dyDescent="0.2">
      <c r="G382" s="348"/>
      <c r="J382" s="348"/>
    </row>
    <row r="383" spans="1:11" x14ac:dyDescent="0.2">
      <c r="E383" s="436">
        <f>E380-E375</f>
        <v>0</v>
      </c>
      <c r="J383" s="3">
        <v>18554</v>
      </c>
    </row>
    <row r="384" spans="1:11" x14ac:dyDescent="0.2">
      <c r="G384" s="348"/>
      <c r="I384" s="3">
        <f>I380-H380</f>
        <v>18554</v>
      </c>
      <c r="J384" s="3">
        <f>J380-H380</f>
        <v>-8262797</v>
      </c>
    </row>
    <row r="385" spans="7:10" x14ac:dyDescent="0.2">
      <c r="G385" s="348"/>
      <c r="J385" s="3">
        <f>J383-J384</f>
        <v>8281351</v>
      </c>
    </row>
    <row r="386" spans="7:10" x14ac:dyDescent="0.2">
      <c r="G386" s="348"/>
      <c r="J386" s="348"/>
    </row>
    <row r="387" spans="7:10" x14ac:dyDescent="0.2">
      <c r="G387" s="348"/>
    </row>
    <row r="388" spans="7:10" x14ac:dyDescent="0.2">
      <c r="G388" s="348"/>
    </row>
    <row r="389" spans="7:10" x14ac:dyDescent="0.2">
      <c r="G389" s="348"/>
    </row>
    <row r="390" spans="7:10" x14ac:dyDescent="0.2">
      <c r="G390" s="348"/>
    </row>
    <row r="391" spans="7:10" x14ac:dyDescent="0.2">
      <c r="G391" s="348"/>
    </row>
    <row r="392" spans="7:10" x14ac:dyDescent="0.2">
      <c r="G392" s="348"/>
    </row>
    <row r="393" spans="7:10" x14ac:dyDescent="0.2">
      <c r="G393" s="348"/>
    </row>
    <row r="394" spans="7:10" x14ac:dyDescent="0.2">
      <c r="G394" s="348"/>
    </row>
    <row r="395" spans="7:10" x14ac:dyDescent="0.2">
      <c r="G395" s="348"/>
    </row>
    <row r="396" spans="7:10" x14ac:dyDescent="0.2">
      <c r="G396" s="348"/>
    </row>
    <row r="397" spans="7:10" x14ac:dyDescent="0.2">
      <c r="G397" s="348"/>
    </row>
    <row r="398" spans="7:10" x14ac:dyDescent="0.2">
      <c r="G398" s="348"/>
    </row>
    <row r="399" spans="7:10" x14ac:dyDescent="0.2">
      <c r="G399" s="348"/>
    </row>
    <row r="400" spans="7:10" x14ac:dyDescent="0.2">
      <c r="G400" s="348"/>
    </row>
    <row r="401" spans="7:7" x14ac:dyDescent="0.2">
      <c r="G401" s="348"/>
    </row>
    <row r="402" spans="7:7" x14ac:dyDescent="0.2">
      <c r="G402" s="348"/>
    </row>
    <row r="403" spans="7:7" x14ac:dyDescent="0.2">
      <c r="G403" s="348"/>
    </row>
    <row r="404" spans="7:7" x14ac:dyDescent="0.2">
      <c r="G404" s="348"/>
    </row>
    <row r="405" spans="7:7" x14ac:dyDescent="0.2">
      <c r="G405" s="348"/>
    </row>
    <row r="406" spans="7:7" x14ac:dyDescent="0.2">
      <c r="G406" s="348"/>
    </row>
    <row r="407" spans="7:7" x14ac:dyDescent="0.2">
      <c r="G407" s="348"/>
    </row>
    <row r="408" spans="7:7" x14ac:dyDescent="0.2">
      <c r="G408" s="348"/>
    </row>
    <row r="409" spans="7:7" x14ac:dyDescent="0.2">
      <c r="G409" s="348"/>
    </row>
    <row r="410" spans="7:7" x14ac:dyDescent="0.2">
      <c r="G410" s="348"/>
    </row>
    <row r="411" spans="7:7" x14ac:dyDescent="0.2">
      <c r="G411" s="348"/>
    </row>
    <row r="412" spans="7:7" x14ac:dyDescent="0.2">
      <c r="G412" s="348"/>
    </row>
    <row r="413" spans="7:7" x14ac:dyDescent="0.2">
      <c r="G413" s="348"/>
    </row>
    <row r="414" spans="7:7" x14ac:dyDescent="0.2">
      <c r="G414" s="348"/>
    </row>
    <row r="415" spans="7:7" x14ac:dyDescent="0.2">
      <c r="G415" s="348"/>
    </row>
    <row r="416" spans="7:7" x14ac:dyDescent="0.2">
      <c r="G416" s="348"/>
    </row>
    <row r="417" spans="7:7" x14ac:dyDescent="0.2">
      <c r="G417" s="348"/>
    </row>
    <row r="418" spans="7:7" x14ac:dyDescent="0.2">
      <c r="G418" s="348"/>
    </row>
    <row r="419" spans="7:7" x14ac:dyDescent="0.2">
      <c r="G419" s="348"/>
    </row>
    <row r="420" spans="7:7" x14ac:dyDescent="0.2">
      <c r="G420" s="348"/>
    </row>
    <row r="421" spans="7:7" x14ac:dyDescent="0.2">
      <c r="G421" s="348"/>
    </row>
    <row r="422" spans="7:7" x14ac:dyDescent="0.2">
      <c r="G422" s="348"/>
    </row>
    <row r="423" spans="7:7" x14ac:dyDescent="0.2">
      <c r="G423" s="348"/>
    </row>
    <row r="424" spans="7:7" x14ac:dyDescent="0.2">
      <c r="G424" s="348"/>
    </row>
    <row r="425" spans="7:7" x14ac:dyDescent="0.2">
      <c r="G425" s="348"/>
    </row>
    <row r="426" spans="7:7" x14ac:dyDescent="0.2">
      <c r="G426" s="348"/>
    </row>
    <row r="427" spans="7:7" x14ac:dyDescent="0.2">
      <c r="G427" s="348"/>
    </row>
    <row r="428" spans="7:7" x14ac:dyDescent="0.2">
      <c r="G428" s="348"/>
    </row>
    <row r="429" spans="7:7" x14ac:dyDescent="0.2">
      <c r="G429" s="348"/>
    </row>
    <row r="430" spans="7:7" x14ac:dyDescent="0.2">
      <c r="G430" s="348"/>
    </row>
  </sheetData>
  <sortState ref="A32:E63">
    <sortCondition ref="A32:A63"/>
  </sortState>
  <mergeCells count="1">
    <mergeCell ref="A1:J1"/>
  </mergeCells>
  <phoneticPr fontId="0" type="noConversion"/>
  <printOptions gridLines="1"/>
  <pageMargins left="0.75" right="0.16" top="0.51" bottom="0.22" header="0.5" footer="0.17"/>
  <pageSetup scale="85" fitToHeight="2" orientation="landscape" r:id="rId1"/>
  <headerFooter alignWithMargins="0"/>
  <rowBreaks count="6" manualBreakCount="6">
    <brk id="89" max="9" man="1"/>
    <brk id="176" max="9" man="1"/>
    <brk id="218" max="9" man="1"/>
    <brk id="262" max="9" man="1"/>
    <brk id="298" max="9" man="1"/>
    <brk id="338" max="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22"/>
  <sheetViews>
    <sheetView view="pageBreakPreview" topLeftCell="B1" zoomScale="133" zoomScaleNormal="100" zoomScaleSheetLayoutView="133" workbookViewId="0">
      <pane ySplit="5" topLeftCell="A295" activePane="bottomLeft" state="frozen"/>
      <selection activeCell="D43" sqref="D43"/>
      <selection pane="bottomLeft" activeCell="H304" sqref="H304"/>
    </sheetView>
  </sheetViews>
  <sheetFormatPr defaultColWidth="9.140625" defaultRowHeight="12.75" x14ac:dyDescent="0.2"/>
  <cols>
    <col min="1" max="1" width="53.42578125" style="60" customWidth="1"/>
    <col min="2" max="2" width="10.28515625" style="60" bestFit="1" customWidth="1"/>
    <col min="3" max="3" width="11.42578125" style="60" customWidth="1"/>
    <col min="4" max="4" width="10.42578125" style="60" bestFit="1" customWidth="1"/>
    <col min="5" max="5" width="12.140625" style="60" customWidth="1"/>
    <col min="6" max="6" width="10.85546875" style="60" bestFit="1" customWidth="1"/>
    <col min="7" max="7" width="10.5703125" style="60" customWidth="1"/>
    <col min="8" max="8" width="12" style="60" customWidth="1"/>
    <col min="9" max="9" width="10.28515625" style="60" bestFit="1" customWidth="1"/>
    <col min="10" max="10" width="9.5703125" style="60" customWidth="1"/>
    <col min="11" max="11" width="9.5703125" style="60" bestFit="1" customWidth="1"/>
    <col min="12" max="16384" width="9.140625" style="60"/>
  </cols>
  <sheetData>
    <row r="1" spans="1:12" x14ac:dyDescent="0.2">
      <c r="A1" s="562" t="str">
        <f>'SUMMARY BY FUND'!A1:J1</f>
        <v>2023-24 BUDGET</v>
      </c>
      <c r="B1" s="563"/>
      <c r="C1" s="563"/>
      <c r="D1" s="563"/>
      <c r="E1" s="563"/>
      <c r="F1" s="563"/>
      <c r="G1" s="563"/>
      <c r="H1" s="563"/>
      <c r="I1" s="563"/>
      <c r="J1" s="563"/>
    </row>
    <row r="2" spans="1:12" ht="18.75" x14ac:dyDescent="0.3">
      <c r="A2" s="205" t="s">
        <v>1874</v>
      </c>
      <c r="B2" s="205"/>
      <c r="C2" s="205"/>
      <c r="D2" s="205"/>
      <c r="E2" s="205"/>
      <c r="F2" s="205"/>
      <c r="I2" s="4"/>
    </row>
    <row r="3" spans="1:12" x14ac:dyDescent="0.2">
      <c r="B3" s="4"/>
      <c r="C3" s="4"/>
      <c r="D3" s="4"/>
      <c r="E3" s="4"/>
      <c r="F3" s="4"/>
      <c r="I3" s="4"/>
    </row>
    <row r="4" spans="1:12" x14ac:dyDescent="0.2">
      <c r="B4" s="4"/>
      <c r="C4" s="4"/>
      <c r="D4" s="4"/>
      <c r="E4" s="19" t="s">
        <v>250</v>
      </c>
      <c r="F4" s="19" t="s">
        <v>251</v>
      </c>
      <c r="G4" s="19" t="s">
        <v>68</v>
      </c>
      <c r="H4" s="19" t="s">
        <v>432</v>
      </c>
      <c r="I4" s="19" t="s">
        <v>338</v>
      </c>
      <c r="J4" s="19" t="s">
        <v>370</v>
      </c>
    </row>
    <row r="5" spans="1:12" ht="15" x14ac:dyDescent="0.35">
      <c r="B5" s="4"/>
      <c r="C5" s="4"/>
      <c r="D5" s="4"/>
      <c r="E5" s="419" t="s">
        <v>2163</v>
      </c>
      <c r="F5" s="419" t="s">
        <v>2290</v>
      </c>
      <c r="G5" s="419" t="s">
        <v>2507</v>
      </c>
      <c r="H5" s="419" t="s">
        <v>2507</v>
      </c>
      <c r="I5" s="419" t="s">
        <v>2507</v>
      </c>
      <c r="J5" s="419" t="s">
        <v>2507</v>
      </c>
    </row>
    <row r="6" spans="1:12" ht="13.5" x14ac:dyDescent="0.25">
      <c r="A6" s="61" t="s">
        <v>997</v>
      </c>
      <c r="B6" s="4"/>
      <c r="C6" s="4"/>
      <c r="D6" s="4"/>
      <c r="E6" s="4">
        <v>165467</v>
      </c>
      <c r="F6" s="4">
        <v>180231</v>
      </c>
      <c r="G6" s="4">
        <v>141710</v>
      </c>
      <c r="H6" s="4">
        <v>141710</v>
      </c>
      <c r="I6" s="4">
        <v>143574</v>
      </c>
      <c r="J6" s="4"/>
      <c r="K6" s="4">
        <f t="shared" ref="K6:K55" si="0">+H6-F6</f>
        <v>-38521</v>
      </c>
      <c r="L6" s="221"/>
    </row>
    <row r="7" spans="1:12" ht="15" x14ac:dyDescent="0.25">
      <c r="A7" s="172" t="s">
        <v>809</v>
      </c>
      <c r="B7" s="3">
        <v>52</v>
      </c>
      <c r="C7" s="4">
        <v>1158</v>
      </c>
      <c r="D7" s="4">
        <f>ROUND(B7*C7,0)</f>
        <v>60216</v>
      </c>
      <c r="E7" s="4"/>
      <c r="F7" s="4"/>
      <c r="G7" s="4"/>
      <c r="H7" s="4"/>
      <c r="I7" s="4"/>
      <c r="J7" s="4"/>
      <c r="K7" s="4">
        <f t="shared" si="0"/>
        <v>0</v>
      </c>
    </row>
    <row r="8" spans="1:12" ht="15" x14ac:dyDescent="0.25">
      <c r="A8" s="172" t="s">
        <v>2016</v>
      </c>
      <c r="B8" s="3">
        <v>52</v>
      </c>
      <c r="C8" s="4">
        <v>0</v>
      </c>
      <c r="D8" s="4">
        <f>ROUND(B8*C8,0)</f>
        <v>0</v>
      </c>
      <c r="E8" s="4"/>
      <c r="F8" s="4"/>
      <c r="G8" s="4"/>
      <c r="H8" s="4"/>
      <c r="I8" s="4"/>
      <c r="J8" s="4"/>
      <c r="K8" s="4">
        <f t="shared" si="0"/>
        <v>0</v>
      </c>
    </row>
    <row r="9" spans="1:12" ht="15" x14ac:dyDescent="0.25">
      <c r="A9" s="172" t="s">
        <v>2100</v>
      </c>
      <c r="B9" s="3">
        <v>52</v>
      </c>
      <c r="C9" s="4">
        <f>19.52*40</f>
        <v>780.8</v>
      </c>
      <c r="D9" s="4">
        <f>ROUND(B9*C9,0)</f>
        <v>40602</v>
      </c>
      <c r="E9" s="4"/>
      <c r="F9" s="4"/>
      <c r="G9" s="4"/>
      <c r="H9" s="4"/>
      <c r="I9" s="4"/>
      <c r="J9" s="4"/>
      <c r="K9" s="4">
        <f t="shared" si="0"/>
        <v>0</v>
      </c>
    </row>
    <row r="10" spans="1:12" ht="15" x14ac:dyDescent="0.25">
      <c r="A10" s="172" t="s">
        <v>2017</v>
      </c>
      <c r="B10" s="3">
        <v>52</v>
      </c>
      <c r="C10" s="4">
        <f>20.04*40</f>
        <v>801.59999999999991</v>
      </c>
      <c r="D10" s="4">
        <f>ROUND(B10*C10,0)</f>
        <v>41683</v>
      </c>
      <c r="E10" s="4"/>
      <c r="F10" s="4"/>
      <c r="G10" s="4"/>
      <c r="H10" s="4"/>
      <c r="I10" s="4"/>
      <c r="J10" s="4"/>
      <c r="K10" s="4">
        <f t="shared" si="0"/>
        <v>0</v>
      </c>
    </row>
    <row r="11" spans="1:12" ht="15" x14ac:dyDescent="0.35">
      <c r="A11" s="60" t="s">
        <v>1039</v>
      </c>
      <c r="B11" s="4"/>
      <c r="C11" s="4"/>
      <c r="D11" s="33">
        <v>1073</v>
      </c>
      <c r="E11" s="4"/>
      <c r="F11" s="4"/>
      <c r="G11" s="4"/>
      <c r="H11" s="4"/>
      <c r="I11" s="4"/>
      <c r="J11" s="4"/>
      <c r="K11" s="4">
        <f t="shared" si="0"/>
        <v>0</v>
      </c>
    </row>
    <row r="12" spans="1:12" x14ac:dyDescent="0.2">
      <c r="A12" s="60" t="s">
        <v>1320</v>
      </c>
      <c r="B12" s="4"/>
      <c r="C12" s="4"/>
      <c r="D12" s="4">
        <f>SUM(D7:D11)</f>
        <v>143574</v>
      </c>
      <c r="F12" s="4"/>
      <c r="G12" s="4"/>
      <c r="H12" s="4"/>
      <c r="I12" s="4"/>
      <c r="J12" s="4"/>
      <c r="K12" s="4">
        <f t="shared" si="0"/>
        <v>0</v>
      </c>
    </row>
    <row r="13" spans="1:12" x14ac:dyDescent="0.2">
      <c r="B13" s="4"/>
      <c r="C13" s="4"/>
      <c r="D13" s="4"/>
      <c r="E13" s="4"/>
      <c r="F13" s="4"/>
      <c r="G13" s="4"/>
      <c r="H13" s="4"/>
      <c r="I13" s="4"/>
      <c r="J13" s="4"/>
      <c r="K13" s="4">
        <f t="shared" si="0"/>
        <v>0</v>
      </c>
    </row>
    <row r="14" spans="1:12" ht="13.5" x14ac:dyDescent="0.25">
      <c r="A14" s="61" t="s">
        <v>614</v>
      </c>
      <c r="B14" s="4"/>
      <c r="C14" s="4"/>
      <c r="D14" s="4"/>
      <c r="E14" s="4">
        <v>920649</v>
      </c>
      <c r="F14" s="4">
        <v>926593</v>
      </c>
      <c r="G14" s="4">
        <v>932272</v>
      </c>
      <c r="H14" s="4">
        <v>932272</v>
      </c>
      <c r="I14" s="4">
        <v>943961</v>
      </c>
      <c r="J14" s="4"/>
      <c r="K14" s="4">
        <f t="shared" si="0"/>
        <v>5679</v>
      </c>
      <c r="L14" s="221"/>
    </row>
    <row r="15" spans="1:12" x14ac:dyDescent="0.2">
      <c r="A15" s="60" t="s">
        <v>374</v>
      </c>
      <c r="B15" s="3">
        <v>52</v>
      </c>
      <c r="C15" s="4">
        <v>2530</v>
      </c>
      <c r="D15" s="4">
        <f t="shared" ref="D15:D24" si="1">ROUND(B15*C15,0)</f>
        <v>131560</v>
      </c>
      <c r="E15" s="4"/>
      <c r="F15" s="4"/>
      <c r="G15" s="4"/>
      <c r="H15" s="4"/>
      <c r="I15" s="4"/>
      <c r="J15" s="4"/>
      <c r="K15" s="4">
        <f t="shared" si="0"/>
        <v>0</v>
      </c>
    </row>
    <row r="16" spans="1:12" x14ac:dyDescent="0.2">
      <c r="A16" s="60" t="s">
        <v>1933</v>
      </c>
      <c r="B16" s="3">
        <v>52</v>
      </c>
      <c r="C16" s="4">
        <v>2317</v>
      </c>
      <c r="D16" s="4">
        <f t="shared" si="1"/>
        <v>120484</v>
      </c>
      <c r="E16" s="4"/>
      <c r="F16" s="4"/>
      <c r="G16" s="4"/>
      <c r="H16" s="4"/>
      <c r="I16" s="4"/>
      <c r="J16" s="4"/>
      <c r="K16" s="4">
        <f t="shared" si="0"/>
        <v>0</v>
      </c>
    </row>
    <row r="17" spans="1:12" x14ac:dyDescent="0.2">
      <c r="A17" s="60" t="s">
        <v>1516</v>
      </c>
      <c r="B17" s="3">
        <v>52</v>
      </c>
      <c r="C17" s="4">
        <v>1791</v>
      </c>
      <c r="D17" s="4">
        <f t="shared" si="1"/>
        <v>93132</v>
      </c>
      <c r="E17" s="4"/>
      <c r="F17" s="4"/>
      <c r="G17" s="4"/>
      <c r="H17" s="4"/>
      <c r="I17" s="4"/>
      <c r="J17" s="4"/>
      <c r="K17" s="4">
        <f t="shared" si="0"/>
        <v>0</v>
      </c>
    </row>
    <row r="18" spans="1:12" ht="15" x14ac:dyDescent="0.25">
      <c r="A18" s="172" t="s">
        <v>470</v>
      </c>
      <c r="B18" s="3">
        <v>52</v>
      </c>
      <c r="C18" s="4">
        <f>50.67*40</f>
        <v>2026.8000000000002</v>
      </c>
      <c r="D18" s="4">
        <f t="shared" si="1"/>
        <v>105394</v>
      </c>
      <c r="E18" s="172"/>
      <c r="F18" s="4"/>
      <c r="G18" s="4"/>
      <c r="H18" s="4"/>
      <c r="I18" s="4"/>
      <c r="J18" s="4"/>
      <c r="K18" s="4">
        <f t="shared" si="0"/>
        <v>0</v>
      </c>
    </row>
    <row r="19" spans="1:12" ht="15" x14ac:dyDescent="0.25">
      <c r="A19" s="172" t="s">
        <v>470</v>
      </c>
      <c r="B19" s="3">
        <v>52</v>
      </c>
      <c r="C19" s="4">
        <f>50.82*40</f>
        <v>2032.8</v>
      </c>
      <c r="D19" s="4">
        <f t="shared" si="1"/>
        <v>105706</v>
      </c>
      <c r="E19" s="172"/>
      <c r="F19" s="4"/>
      <c r="G19" s="4"/>
      <c r="H19" s="4"/>
      <c r="I19" s="4"/>
      <c r="J19" s="4"/>
      <c r="K19" s="4">
        <f t="shared" si="0"/>
        <v>0</v>
      </c>
    </row>
    <row r="20" spans="1:12" ht="15" x14ac:dyDescent="0.25">
      <c r="A20" s="172" t="s">
        <v>471</v>
      </c>
      <c r="B20" s="3">
        <v>52</v>
      </c>
      <c r="C20" s="4">
        <f>45.06*40</f>
        <v>1802.4</v>
      </c>
      <c r="D20" s="4">
        <f t="shared" si="1"/>
        <v>93725</v>
      </c>
      <c r="E20" s="172"/>
      <c r="F20" s="4"/>
      <c r="G20" s="4"/>
      <c r="H20" s="4"/>
      <c r="I20" s="4"/>
      <c r="J20" s="4"/>
      <c r="K20" s="4">
        <f t="shared" si="0"/>
        <v>0</v>
      </c>
    </row>
    <row r="21" spans="1:12" ht="15" x14ac:dyDescent="0.25">
      <c r="A21" s="172" t="s">
        <v>471</v>
      </c>
      <c r="B21" s="3">
        <v>52</v>
      </c>
      <c r="C21" s="4">
        <f>44.69*40</f>
        <v>1787.6</v>
      </c>
      <c r="D21" s="4">
        <f t="shared" si="1"/>
        <v>92955</v>
      </c>
      <c r="E21" s="172"/>
      <c r="F21" s="4"/>
      <c r="G21" s="4"/>
      <c r="H21" s="4"/>
      <c r="I21" s="4"/>
      <c r="J21" s="4"/>
      <c r="K21" s="4">
        <f t="shared" si="0"/>
        <v>0</v>
      </c>
    </row>
    <row r="22" spans="1:12" ht="15" x14ac:dyDescent="0.25">
      <c r="A22" s="172" t="s">
        <v>471</v>
      </c>
      <c r="B22" s="3">
        <v>52</v>
      </c>
      <c r="C22" s="4">
        <f>44.93*40</f>
        <v>1797.2</v>
      </c>
      <c r="D22" s="4">
        <f t="shared" si="1"/>
        <v>93454</v>
      </c>
      <c r="E22" s="172"/>
      <c r="F22" s="4"/>
      <c r="G22" s="4"/>
      <c r="H22" s="4"/>
      <c r="I22" s="4"/>
      <c r="J22" s="4"/>
      <c r="K22" s="4">
        <f t="shared" si="0"/>
        <v>0</v>
      </c>
    </row>
    <row r="23" spans="1:12" ht="15" x14ac:dyDescent="0.25">
      <c r="A23" s="172" t="s">
        <v>471</v>
      </c>
      <c r="B23" s="3">
        <v>52</v>
      </c>
      <c r="C23" s="4">
        <f>44.58*40</f>
        <v>1783.1999999999998</v>
      </c>
      <c r="D23" s="4">
        <f t="shared" si="1"/>
        <v>92726</v>
      </c>
      <c r="E23" s="172"/>
      <c r="F23" s="4"/>
      <c r="G23" s="4"/>
      <c r="H23" s="4"/>
      <c r="I23" s="4"/>
      <c r="J23" s="4"/>
      <c r="K23" s="4">
        <f t="shared" si="0"/>
        <v>0</v>
      </c>
    </row>
    <row r="24" spans="1:12" ht="15" x14ac:dyDescent="0.25">
      <c r="A24" s="172" t="s">
        <v>2080</v>
      </c>
      <c r="B24" s="3">
        <v>52</v>
      </c>
      <c r="C24" s="4">
        <v>16</v>
      </c>
      <c r="D24" s="4">
        <f t="shared" si="1"/>
        <v>832</v>
      </c>
      <c r="E24" s="172"/>
      <c r="F24" s="4"/>
      <c r="G24" s="4"/>
      <c r="H24" s="4"/>
      <c r="I24" s="4"/>
      <c r="J24" s="4"/>
      <c r="K24" s="4">
        <f t="shared" si="0"/>
        <v>0</v>
      </c>
    </row>
    <row r="25" spans="1:12" ht="15" x14ac:dyDescent="0.35">
      <c r="A25" s="4" t="s">
        <v>1039</v>
      </c>
      <c r="B25" s="4"/>
      <c r="C25" s="4"/>
      <c r="D25" s="33">
        <v>13993</v>
      </c>
      <c r="E25" s="4"/>
      <c r="F25" s="4"/>
      <c r="G25" s="4"/>
      <c r="H25" s="4"/>
      <c r="I25" s="4"/>
      <c r="J25" s="4"/>
      <c r="K25" s="4">
        <f t="shared" si="0"/>
        <v>0</v>
      </c>
    </row>
    <row r="26" spans="1:12" x14ac:dyDescent="0.2">
      <c r="A26" s="4" t="s">
        <v>1320</v>
      </c>
      <c r="B26" s="4"/>
      <c r="C26" s="4"/>
      <c r="D26" s="4">
        <f>SUM(D15:D25)</f>
        <v>943961</v>
      </c>
      <c r="F26" s="4"/>
      <c r="G26" s="4"/>
      <c r="H26" s="4"/>
      <c r="I26" s="4"/>
      <c r="J26" s="4"/>
      <c r="K26" s="4">
        <f t="shared" si="0"/>
        <v>0</v>
      </c>
    </row>
    <row r="27" spans="1:12" x14ac:dyDescent="0.2">
      <c r="A27" s="4"/>
      <c r="B27" s="4"/>
      <c r="C27" s="4"/>
      <c r="D27" s="4"/>
      <c r="E27" s="4"/>
      <c r="F27" s="4"/>
      <c r="G27" s="4"/>
      <c r="H27" s="4"/>
      <c r="I27" s="4"/>
      <c r="J27" s="4"/>
      <c r="K27" s="4">
        <f t="shared" si="0"/>
        <v>0</v>
      </c>
    </row>
    <row r="28" spans="1:12" ht="13.5" x14ac:dyDescent="0.25">
      <c r="A28" s="61" t="s">
        <v>910</v>
      </c>
      <c r="B28" s="4"/>
      <c r="C28" s="4"/>
      <c r="D28" s="4"/>
      <c r="E28" s="4">
        <v>2426277</v>
      </c>
      <c r="F28" s="4">
        <v>2712522</v>
      </c>
      <c r="G28" s="4">
        <v>2851642</v>
      </c>
      <c r="H28" s="4">
        <v>2851642</v>
      </c>
      <c r="I28" s="4">
        <v>2851642</v>
      </c>
      <c r="J28" s="4"/>
      <c r="K28" s="4">
        <f t="shared" si="0"/>
        <v>139120</v>
      </c>
      <c r="L28" s="221"/>
    </row>
    <row r="29" spans="1:12" x14ac:dyDescent="0.2">
      <c r="A29" s="386" t="s">
        <v>2667</v>
      </c>
      <c r="B29" s="3">
        <v>52</v>
      </c>
      <c r="C29" s="386">
        <f>38.55*40</f>
        <v>1542</v>
      </c>
      <c r="D29" s="4">
        <f t="shared" ref="D29:D65" si="2">ROUND(B29*C29,0)</f>
        <v>80184</v>
      </c>
      <c r="E29" s="4"/>
      <c r="F29" s="234"/>
      <c r="G29" s="234"/>
      <c r="H29" s="234"/>
      <c r="I29" s="234"/>
      <c r="J29" s="234"/>
      <c r="K29" s="4">
        <f t="shared" si="0"/>
        <v>0</v>
      </c>
    </row>
    <row r="30" spans="1:12" x14ac:dyDescent="0.2">
      <c r="A30" s="386" t="s">
        <v>912</v>
      </c>
      <c r="B30" s="3">
        <v>52</v>
      </c>
      <c r="C30" s="386">
        <f>37.8*40</f>
        <v>1512</v>
      </c>
      <c r="D30" s="4">
        <f t="shared" si="2"/>
        <v>78624</v>
      </c>
      <c r="E30" s="4"/>
      <c r="F30" s="223"/>
      <c r="G30" s="223"/>
      <c r="H30" s="223"/>
      <c r="I30" s="223"/>
      <c r="J30" s="223"/>
      <c r="K30" s="4">
        <f t="shared" si="0"/>
        <v>0</v>
      </c>
    </row>
    <row r="31" spans="1:12" x14ac:dyDescent="0.2">
      <c r="A31" s="386" t="s">
        <v>912</v>
      </c>
      <c r="B31" s="3">
        <v>52</v>
      </c>
      <c r="C31" s="505">
        <f>38.69*40</f>
        <v>1547.6</v>
      </c>
      <c r="D31" s="4">
        <f t="shared" si="2"/>
        <v>80475</v>
      </c>
      <c r="E31" s="4"/>
      <c r="F31" s="223"/>
      <c r="G31" s="223"/>
      <c r="H31" s="223"/>
      <c r="I31" s="223"/>
      <c r="J31" s="223"/>
      <c r="K31" s="4">
        <f t="shared" si="0"/>
        <v>0</v>
      </c>
    </row>
    <row r="32" spans="1:12" x14ac:dyDescent="0.2">
      <c r="A32" s="386" t="s">
        <v>912</v>
      </c>
      <c r="B32" s="3">
        <v>52</v>
      </c>
      <c r="C32" s="505">
        <f>38.69*40</f>
        <v>1547.6</v>
      </c>
      <c r="D32" s="4">
        <f t="shared" si="2"/>
        <v>80475</v>
      </c>
      <c r="E32" s="4"/>
      <c r="F32" s="223"/>
      <c r="G32" s="223"/>
      <c r="H32" s="223"/>
      <c r="I32" s="223"/>
      <c r="J32" s="223"/>
      <c r="K32" s="4">
        <f t="shared" si="0"/>
        <v>0</v>
      </c>
    </row>
    <row r="33" spans="1:11" x14ac:dyDescent="0.2">
      <c r="A33" s="386" t="s">
        <v>912</v>
      </c>
      <c r="B33" s="3">
        <v>52</v>
      </c>
      <c r="C33" s="506">
        <f>38.74*40</f>
        <v>1549.6000000000001</v>
      </c>
      <c r="D33" s="4">
        <f t="shared" si="2"/>
        <v>80579</v>
      </c>
      <c r="E33" s="4"/>
      <c r="F33" s="223"/>
      <c r="G33" s="223"/>
      <c r="H33" s="223"/>
      <c r="I33" s="223"/>
      <c r="J33" s="223"/>
      <c r="K33" s="4">
        <f t="shared" si="0"/>
        <v>0</v>
      </c>
    </row>
    <row r="34" spans="1:11" x14ac:dyDescent="0.2">
      <c r="A34" s="386" t="s">
        <v>86</v>
      </c>
      <c r="B34" s="3">
        <v>52</v>
      </c>
      <c r="C34" s="505">
        <f>36.31*40</f>
        <v>1452.4</v>
      </c>
      <c r="D34" s="4">
        <f t="shared" si="2"/>
        <v>75525</v>
      </c>
      <c r="E34" s="4"/>
      <c r="F34" s="223"/>
      <c r="G34" s="223"/>
      <c r="H34" s="223"/>
      <c r="I34" s="223"/>
      <c r="J34" s="223"/>
      <c r="K34" s="4">
        <f t="shared" si="0"/>
        <v>0</v>
      </c>
    </row>
    <row r="35" spans="1:11" x14ac:dyDescent="0.2">
      <c r="A35" s="386" t="s">
        <v>86</v>
      </c>
      <c r="B35" s="3">
        <v>52</v>
      </c>
      <c r="C35" s="386">
        <f>36.35*40</f>
        <v>1454</v>
      </c>
      <c r="D35" s="4">
        <f t="shared" si="2"/>
        <v>75608</v>
      </c>
      <c r="E35" s="4"/>
      <c r="F35" s="223"/>
      <c r="G35" s="223"/>
      <c r="H35" s="223"/>
      <c r="I35" s="223"/>
      <c r="J35" s="223"/>
      <c r="K35" s="4">
        <f t="shared" si="0"/>
        <v>0</v>
      </c>
    </row>
    <row r="36" spans="1:11" x14ac:dyDescent="0.2">
      <c r="A36" s="386" t="s">
        <v>86</v>
      </c>
      <c r="B36" s="3">
        <v>52</v>
      </c>
      <c r="C36" s="438">
        <f>36.06*40</f>
        <v>1442.4</v>
      </c>
      <c r="D36" s="4">
        <f t="shared" si="2"/>
        <v>75005</v>
      </c>
      <c r="E36" s="4"/>
      <c r="F36" s="223"/>
      <c r="G36" s="223"/>
      <c r="H36" s="223"/>
      <c r="I36" s="223"/>
      <c r="J36" s="223"/>
      <c r="K36" s="4">
        <f t="shared" si="0"/>
        <v>0</v>
      </c>
    </row>
    <row r="37" spans="1:11" x14ac:dyDescent="0.2">
      <c r="A37" s="386" t="s">
        <v>911</v>
      </c>
      <c r="B37" s="3">
        <v>52</v>
      </c>
      <c r="C37" s="505">
        <f>41.99*40</f>
        <v>1679.6000000000001</v>
      </c>
      <c r="D37" s="4">
        <f t="shared" si="2"/>
        <v>87339</v>
      </c>
      <c r="E37" s="4"/>
      <c r="F37" s="223"/>
      <c r="G37" s="223"/>
      <c r="H37" s="223"/>
      <c r="I37" s="223"/>
      <c r="J37" s="223"/>
      <c r="K37" s="4">
        <f t="shared" si="0"/>
        <v>0</v>
      </c>
    </row>
    <row r="38" spans="1:11" x14ac:dyDescent="0.2">
      <c r="A38" s="386" t="s">
        <v>911</v>
      </c>
      <c r="B38" s="3">
        <v>52</v>
      </c>
      <c r="C38" s="386">
        <f>41.9*40</f>
        <v>1676</v>
      </c>
      <c r="D38" s="4">
        <f t="shared" si="2"/>
        <v>87152</v>
      </c>
      <c r="E38" s="4"/>
      <c r="F38" s="223"/>
      <c r="G38" s="223"/>
      <c r="H38" s="223"/>
      <c r="I38" s="223"/>
      <c r="J38" s="223"/>
      <c r="K38" s="4">
        <f t="shared" si="0"/>
        <v>0</v>
      </c>
    </row>
    <row r="39" spans="1:11" x14ac:dyDescent="0.2">
      <c r="A39" s="386" t="s">
        <v>911</v>
      </c>
      <c r="B39" s="3">
        <v>52</v>
      </c>
      <c r="C39" s="505">
        <f>41.61*40</f>
        <v>1664.4</v>
      </c>
      <c r="D39" s="4">
        <f t="shared" si="2"/>
        <v>86549</v>
      </c>
      <c r="E39" s="4"/>
      <c r="F39" s="223"/>
      <c r="G39" s="223"/>
      <c r="H39" s="223"/>
      <c r="I39" s="223"/>
      <c r="J39" s="223"/>
      <c r="K39" s="4">
        <f t="shared" si="0"/>
        <v>0</v>
      </c>
    </row>
    <row r="40" spans="1:11" x14ac:dyDescent="0.2">
      <c r="A40" s="386" t="s">
        <v>911</v>
      </c>
      <c r="B40" s="3">
        <v>52</v>
      </c>
      <c r="C40" s="505">
        <f>41.99*40</f>
        <v>1679.6000000000001</v>
      </c>
      <c r="D40" s="4">
        <f t="shared" si="2"/>
        <v>87339</v>
      </c>
      <c r="E40" s="4"/>
      <c r="F40" s="223"/>
      <c r="G40" s="223"/>
      <c r="H40" s="223"/>
      <c r="I40" s="223"/>
      <c r="J40" s="223"/>
      <c r="K40" s="4">
        <f t="shared" si="0"/>
        <v>0</v>
      </c>
    </row>
    <row r="41" spans="1:11" x14ac:dyDescent="0.2">
      <c r="A41" s="386" t="s">
        <v>911</v>
      </c>
      <c r="B41" s="3">
        <v>52</v>
      </c>
      <c r="C41" s="386">
        <f>41.75*40</f>
        <v>1670</v>
      </c>
      <c r="D41" s="4">
        <f t="shared" si="2"/>
        <v>86840</v>
      </c>
      <c r="E41" s="4"/>
      <c r="F41" s="223"/>
      <c r="G41" s="223"/>
      <c r="H41" s="223"/>
      <c r="I41" s="223"/>
      <c r="J41" s="223"/>
      <c r="K41" s="4">
        <f t="shared" si="0"/>
        <v>0</v>
      </c>
    </row>
    <row r="42" spans="1:11" x14ac:dyDescent="0.2">
      <c r="A42" s="386" t="s">
        <v>911</v>
      </c>
      <c r="B42" s="3">
        <v>52</v>
      </c>
      <c r="C42" s="505">
        <f>41.99*40</f>
        <v>1679.6000000000001</v>
      </c>
      <c r="D42" s="4">
        <f t="shared" si="2"/>
        <v>87339</v>
      </c>
      <c r="E42" s="4"/>
      <c r="F42" s="223"/>
      <c r="G42" s="223"/>
      <c r="H42" s="223"/>
      <c r="I42" s="223"/>
      <c r="J42" s="223"/>
      <c r="K42" s="4">
        <f t="shared" si="0"/>
        <v>0</v>
      </c>
    </row>
    <row r="43" spans="1:11" x14ac:dyDescent="0.2">
      <c r="A43" s="386" t="s">
        <v>524</v>
      </c>
      <c r="B43" s="3">
        <v>52</v>
      </c>
      <c r="C43" s="505">
        <f>33.69*40</f>
        <v>1347.6</v>
      </c>
      <c r="D43" s="4">
        <f t="shared" ref="D43:D63" si="3">ROUND(B43*C43,0)</f>
        <v>70075</v>
      </c>
      <c r="E43" s="4"/>
      <c r="F43" s="223"/>
      <c r="G43" s="223"/>
      <c r="H43" s="223"/>
      <c r="I43" s="223"/>
      <c r="J43" s="223"/>
      <c r="K43" s="4">
        <f t="shared" si="0"/>
        <v>0</v>
      </c>
    </row>
    <row r="44" spans="1:11" x14ac:dyDescent="0.2">
      <c r="A44" s="386" t="s">
        <v>524</v>
      </c>
      <c r="B44" s="3">
        <v>52</v>
      </c>
      <c r="C44" s="386">
        <f>33.4*40</f>
        <v>1336</v>
      </c>
      <c r="D44" s="4">
        <f t="shared" si="3"/>
        <v>69472</v>
      </c>
      <c r="E44" s="4"/>
      <c r="F44" s="223"/>
      <c r="G44" s="223"/>
      <c r="H44" s="223"/>
      <c r="I44" s="223"/>
      <c r="J44" s="223"/>
      <c r="K44" s="4">
        <f t="shared" si="0"/>
        <v>0</v>
      </c>
    </row>
    <row r="45" spans="1:11" x14ac:dyDescent="0.2">
      <c r="A45" s="386" t="s">
        <v>524</v>
      </c>
      <c r="B45" s="3">
        <v>52</v>
      </c>
      <c r="C45" s="505">
        <f>33.69*40</f>
        <v>1347.6</v>
      </c>
      <c r="D45" s="4">
        <f t="shared" si="3"/>
        <v>70075</v>
      </c>
      <c r="E45" s="4"/>
      <c r="F45" s="223"/>
      <c r="G45" s="223"/>
      <c r="H45" s="223"/>
      <c r="I45" s="223"/>
      <c r="J45" s="223"/>
      <c r="K45" s="4">
        <f t="shared" si="0"/>
        <v>0</v>
      </c>
    </row>
    <row r="46" spans="1:11" x14ac:dyDescent="0.2">
      <c r="A46" s="386" t="s">
        <v>524</v>
      </c>
      <c r="B46" s="3">
        <v>52</v>
      </c>
      <c r="C46" s="224">
        <f>33.5*40</f>
        <v>1340</v>
      </c>
      <c r="D46" s="4">
        <f t="shared" si="3"/>
        <v>69680</v>
      </c>
      <c r="E46" s="4"/>
      <c r="F46" s="223"/>
      <c r="G46" s="223"/>
      <c r="H46" s="223"/>
      <c r="I46" s="223"/>
      <c r="J46" s="223"/>
      <c r="K46" s="4">
        <f t="shared" si="0"/>
        <v>0</v>
      </c>
    </row>
    <row r="47" spans="1:11" x14ac:dyDescent="0.2">
      <c r="A47" s="386" t="s">
        <v>524</v>
      </c>
      <c r="B47" s="3">
        <v>52</v>
      </c>
      <c r="C47" s="505">
        <f>34.12*40</f>
        <v>1364.8</v>
      </c>
      <c r="D47" s="4">
        <f t="shared" si="3"/>
        <v>70970</v>
      </c>
      <c r="E47" s="4"/>
      <c r="F47" s="223"/>
      <c r="G47" s="223"/>
      <c r="H47" s="223"/>
      <c r="I47" s="223"/>
      <c r="J47" s="223"/>
      <c r="K47" s="4">
        <f t="shared" si="0"/>
        <v>0</v>
      </c>
    </row>
    <row r="48" spans="1:11" x14ac:dyDescent="0.2">
      <c r="A48" s="386" t="s">
        <v>524</v>
      </c>
      <c r="B48" s="3">
        <v>52</v>
      </c>
      <c r="C48" s="386">
        <f>33.4*40</f>
        <v>1336</v>
      </c>
      <c r="D48" s="4">
        <f t="shared" si="3"/>
        <v>69472</v>
      </c>
      <c r="E48" s="4"/>
      <c r="F48" s="223"/>
      <c r="G48" s="223"/>
      <c r="H48" s="223"/>
      <c r="I48" s="223"/>
      <c r="J48" s="223"/>
      <c r="K48" s="4">
        <f t="shared" si="0"/>
        <v>0</v>
      </c>
    </row>
    <row r="49" spans="1:11" x14ac:dyDescent="0.2">
      <c r="A49" s="386" t="s">
        <v>2303</v>
      </c>
      <c r="B49" s="3">
        <v>52</v>
      </c>
      <c r="C49" s="505">
        <f>33.69*40</f>
        <v>1347.6</v>
      </c>
      <c r="D49" s="4">
        <f t="shared" si="3"/>
        <v>70075</v>
      </c>
      <c r="E49" s="4"/>
      <c r="F49" s="223"/>
      <c r="G49" s="223"/>
      <c r="H49" s="223"/>
      <c r="I49" s="223"/>
      <c r="J49" s="223"/>
      <c r="K49" s="4">
        <f t="shared" si="0"/>
        <v>0</v>
      </c>
    </row>
    <row r="50" spans="1:11" x14ac:dyDescent="0.2">
      <c r="A50" s="386" t="s">
        <v>2303</v>
      </c>
      <c r="B50" s="3">
        <v>52</v>
      </c>
      <c r="C50" s="505">
        <f>31.36*40</f>
        <v>1254.4000000000001</v>
      </c>
      <c r="D50" s="4">
        <f t="shared" si="3"/>
        <v>65229</v>
      </c>
      <c r="E50" s="4"/>
      <c r="F50" s="223"/>
      <c r="G50" s="223"/>
      <c r="H50" s="223"/>
      <c r="I50" s="223"/>
      <c r="J50" s="223"/>
      <c r="K50" s="4">
        <f t="shared" si="0"/>
        <v>0</v>
      </c>
    </row>
    <row r="51" spans="1:11" x14ac:dyDescent="0.2">
      <c r="A51" s="386" t="s">
        <v>2517</v>
      </c>
      <c r="B51" s="3">
        <v>52</v>
      </c>
      <c r="C51" s="386">
        <f>36.35*40</f>
        <v>1454</v>
      </c>
      <c r="D51" s="4">
        <f t="shared" si="3"/>
        <v>75608</v>
      </c>
      <c r="E51" s="440"/>
      <c r="F51" s="441"/>
      <c r="G51" s="441"/>
      <c r="H51" s="441"/>
      <c r="I51" s="441"/>
      <c r="J51" s="441"/>
      <c r="K51" s="4">
        <f t="shared" si="0"/>
        <v>0</v>
      </c>
    </row>
    <row r="52" spans="1:11" x14ac:dyDescent="0.2">
      <c r="A52" s="386" t="s">
        <v>524</v>
      </c>
      <c r="B52" s="3">
        <v>52</v>
      </c>
      <c r="C52" s="505">
        <f>33.64*40</f>
        <v>1345.6</v>
      </c>
      <c r="D52" s="4">
        <f t="shared" si="3"/>
        <v>69971</v>
      </c>
      <c r="E52" s="440"/>
      <c r="F52" s="441"/>
      <c r="G52" s="441"/>
      <c r="H52" s="441"/>
      <c r="I52" s="441"/>
      <c r="J52" s="441"/>
      <c r="K52" s="4">
        <f t="shared" si="0"/>
        <v>0</v>
      </c>
    </row>
    <row r="53" spans="1:11" x14ac:dyDescent="0.2">
      <c r="A53" s="386" t="s">
        <v>524</v>
      </c>
      <c r="B53" s="3">
        <v>52</v>
      </c>
      <c r="C53" s="386">
        <f>33.5*40</f>
        <v>1340</v>
      </c>
      <c r="D53" s="4">
        <f t="shared" si="3"/>
        <v>69680</v>
      </c>
      <c r="E53" s="440"/>
      <c r="F53" s="441"/>
      <c r="G53" s="441"/>
      <c r="H53" s="441"/>
      <c r="I53" s="441"/>
      <c r="J53" s="441"/>
      <c r="K53" s="4">
        <f t="shared" si="0"/>
        <v>0</v>
      </c>
    </row>
    <row r="54" spans="1:11" x14ac:dyDescent="0.2">
      <c r="A54" s="386" t="s">
        <v>524</v>
      </c>
      <c r="B54" s="3">
        <v>52</v>
      </c>
      <c r="C54" s="505">
        <f>33.69*40</f>
        <v>1347.6</v>
      </c>
      <c r="D54" s="4">
        <f t="shared" si="3"/>
        <v>70075</v>
      </c>
      <c r="E54" s="440"/>
      <c r="F54" s="441"/>
      <c r="G54" s="441"/>
      <c r="H54" s="441"/>
      <c r="I54" s="441"/>
      <c r="J54" s="441"/>
      <c r="K54" s="4">
        <f t="shared" si="0"/>
        <v>0</v>
      </c>
    </row>
    <row r="55" spans="1:11" x14ac:dyDescent="0.2">
      <c r="A55" s="386" t="s">
        <v>524</v>
      </c>
      <c r="B55" s="3">
        <v>52</v>
      </c>
      <c r="C55" s="505">
        <f>33.93*40</f>
        <v>1357.2</v>
      </c>
      <c r="D55" s="4">
        <f t="shared" si="3"/>
        <v>70574</v>
      </c>
      <c r="E55" s="440"/>
      <c r="F55" s="441"/>
      <c r="G55" s="441"/>
      <c r="H55" s="441"/>
      <c r="I55" s="441"/>
      <c r="J55" s="441"/>
      <c r="K55" s="4">
        <f t="shared" si="0"/>
        <v>0</v>
      </c>
    </row>
    <row r="56" spans="1:11" x14ac:dyDescent="0.2">
      <c r="A56" s="386" t="s">
        <v>524</v>
      </c>
      <c r="B56" s="3">
        <v>52</v>
      </c>
      <c r="C56" s="506">
        <f>33.69*40</f>
        <v>1347.6</v>
      </c>
      <c r="D56" s="4">
        <f t="shared" si="3"/>
        <v>70075</v>
      </c>
      <c r="E56" s="440"/>
      <c r="F56" s="441"/>
      <c r="G56" s="441"/>
      <c r="H56" s="441"/>
      <c r="I56" s="441"/>
      <c r="J56" s="441"/>
      <c r="K56" s="4">
        <f>+H56-F59</f>
        <v>0</v>
      </c>
    </row>
    <row r="57" spans="1:11" x14ac:dyDescent="0.2">
      <c r="A57" s="386" t="s">
        <v>524</v>
      </c>
      <c r="B57" s="3">
        <v>52</v>
      </c>
      <c r="C57" s="505">
        <f>31.36*40</f>
        <v>1254.4000000000001</v>
      </c>
      <c r="D57" s="4">
        <f t="shared" si="3"/>
        <v>65229</v>
      </c>
      <c r="E57" s="440"/>
      <c r="F57" s="441"/>
      <c r="G57" s="441"/>
      <c r="H57" s="441"/>
      <c r="I57" s="441"/>
      <c r="J57" s="441"/>
      <c r="K57" s="4">
        <f>+H57-F60</f>
        <v>0</v>
      </c>
    </row>
    <row r="58" spans="1:11" x14ac:dyDescent="0.2">
      <c r="A58" s="386" t="s">
        <v>524</v>
      </c>
      <c r="B58" s="3">
        <v>52</v>
      </c>
      <c r="C58" s="505">
        <f>33.69*40</f>
        <v>1347.6</v>
      </c>
      <c r="D58" s="4">
        <f t="shared" si="3"/>
        <v>70075</v>
      </c>
      <c r="E58" s="440"/>
      <c r="F58" s="441"/>
      <c r="G58" s="441"/>
      <c r="H58" s="441"/>
      <c r="I58" s="441"/>
      <c r="J58" s="441"/>
      <c r="K58" s="4">
        <f>+H58-F61</f>
        <v>0</v>
      </c>
    </row>
    <row r="59" spans="1:11" x14ac:dyDescent="0.2">
      <c r="A59" s="386" t="s">
        <v>524</v>
      </c>
      <c r="B59" s="3">
        <v>52</v>
      </c>
      <c r="C59" s="438">
        <v>1230</v>
      </c>
      <c r="D59" s="4">
        <f t="shared" si="3"/>
        <v>63960</v>
      </c>
      <c r="E59" s="440"/>
      <c r="F59" s="441"/>
      <c r="G59" s="441"/>
      <c r="H59" s="441"/>
      <c r="I59" s="441"/>
      <c r="J59" s="441"/>
      <c r="K59" s="4">
        <f>+H59-F62</f>
        <v>0</v>
      </c>
    </row>
    <row r="60" spans="1:11" x14ac:dyDescent="0.2">
      <c r="A60" s="386" t="s">
        <v>524</v>
      </c>
      <c r="B60" s="3">
        <v>52</v>
      </c>
      <c r="C60" s="386">
        <v>1230</v>
      </c>
      <c r="D60" s="4">
        <f t="shared" si="3"/>
        <v>63960</v>
      </c>
      <c r="E60" s="440"/>
      <c r="F60" s="441"/>
      <c r="G60" s="441"/>
      <c r="H60" s="441"/>
      <c r="I60" s="441"/>
      <c r="J60" s="441"/>
      <c r="K60" s="4">
        <f>+H60-F56</f>
        <v>0</v>
      </c>
    </row>
    <row r="61" spans="1:11" x14ac:dyDescent="0.2">
      <c r="A61" s="386" t="s">
        <v>524</v>
      </c>
      <c r="B61" s="3">
        <v>52</v>
      </c>
      <c r="C61" s="386">
        <v>1230</v>
      </c>
      <c r="D61" s="4">
        <f t="shared" si="3"/>
        <v>63960</v>
      </c>
      <c r="E61" s="440"/>
      <c r="F61" s="441"/>
      <c r="G61" s="441"/>
      <c r="H61" s="441"/>
      <c r="I61" s="441"/>
      <c r="J61" s="441"/>
      <c r="K61" s="4">
        <f>+H61-F57</f>
        <v>0</v>
      </c>
    </row>
    <row r="62" spans="1:11" x14ac:dyDescent="0.2">
      <c r="A62" s="386" t="s">
        <v>524</v>
      </c>
      <c r="B62" s="3">
        <v>52</v>
      </c>
      <c r="C62" s="386">
        <v>1230</v>
      </c>
      <c r="D62" s="4">
        <f t="shared" si="3"/>
        <v>63960</v>
      </c>
      <c r="E62" s="440"/>
      <c r="F62" s="441"/>
      <c r="G62" s="441"/>
      <c r="H62" s="441"/>
      <c r="I62" s="441"/>
      <c r="J62" s="441"/>
      <c r="K62" s="4">
        <f>+H62-F58</f>
        <v>0</v>
      </c>
    </row>
    <row r="63" spans="1:11" x14ac:dyDescent="0.2">
      <c r="A63" s="386" t="s">
        <v>2577</v>
      </c>
      <c r="B63" s="3">
        <v>52</v>
      </c>
      <c r="C63" s="386">
        <v>1250</v>
      </c>
      <c r="D63" s="4">
        <f t="shared" si="3"/>
        <v>65000</v>
      </c>
      <c r="E63" s="440"/>
      <c r="F63" s="441"/>
      <c r="G63" s="441"/>
      <c r="H63" s="441"/>
      <c r="I63" s="441"/>
      <c r="J63" s="441"/>
      <c r="K63" s="4"/>
    </row>
    <row r="64" spans="1:11" x14ac:dyDescent="0.2">
      <c r="A64" s="386" t="s">
        <v>87</v>
      </c>
      <c r="B64" s="3">
        <v>52</v>
      </c>
      <c r="C64" s="505">
        <f>38.84*40</f>
        <v>1553.6000000000001</v>
      </c>
      <c r="D64" s="4">
        <f t="shared" si="2"/>
        <v>80787</v>
      </c>
      <c r="E64" s="440"/>
      <c r="F64" s="441"/>
      <c r="G64" s="441"/>
      <c r="H64" s="441"/>
      <c r="I64" s="441"/>
      <c r="J64" s="441"/>
      <c r="K64" s="4">
        <f t="shared" ref="K64:K81" si="4">+H64-F64</f>
        <v>0</v>
      </c>
    </row>
    <row r="65" spans="1:11" x14ac:dyDescent="0.2">
      <c r="A65" s="386" t="s">
        <v>87</v>
      </c>
      <c r="B65" s="3">
        <v>52</v>
      </c>
      <c r="C65" s="386">
        <f>38.65*40</f>
        <v>1546</v>
      </c>
      <c r="D65" s="4">
        <f t="shared" si="2"/>
        <v>80392</v>
      </c>
      <c r="E65" s="440"/>
      <c r="F65" s="441"/>
      <c r="G65" s="441"/>
      <c r="H65" s="441"/>
      <c r="I65" s="441"/>
      <c r="J65" s="441"/>
      <c r="K65" s="4">
        <f t="shared" si="4"/>
        <v>0</v>
      </c>
    </row>
    <row r="66" spans="1:11" x14ac:dyDescent="0.2">
      <c r="A66" s="386" t="s">
        <v>2162</v>
      </c>
      <c r="B66" s="386"/>
      <c r="C66" s="386"/>
      <c r="D66" s="4">
        <v>12480</v>
      </c>
      <c r="E66" s="440"/>
      <c r="F66" s="441"/>
      <c r="G66" s="441"/>
      <c r="H66" s="441"/>
      <c r="I66" s="441"/>
      <c r="J66" s="441"/>
      <c r="K66" s="4">
        <f t="shared" si="4"/>
        <v>0</v>
      </c>
    </row>
    <row r="67" spans="1:11" x14ac:dyDescent="0.2">
      <c r="A67" s="4" t="s">
        <v>1140</v>
      </c>
      <c r="B67" s="4">
        <v>2160</v>
      </c>
      <c r="C67" s="63">
        <f>SUM(C29:C65)/40/36</f>
        <v>36.690555555555548</v>
      </c>
      <c r="D67" s="4">
        <f>ROUND(B67*C67,0)</f>
        <v>79252</v>
      </c>
      <c r="E67" s="4"/>
      <c r="F67" s="223"/>
      <c r="G67" s="223"/>
      <c r="H67" s="223"/>
      <c r="I67" s="223"/>
      <c r="J67" s="223"/>
      <c r="K67" s="4">
        <f t="shared" si="4"/>
        <v>0</v>
      </c>
    </row>
    <row r="68" spans="1:11" ht="15" x14ac:dyDescent="0.35">
      <c r="A68" s="4" t="s">
        <v>1039</v>
      </c>
      <c r="B68" s="4" t="s">
        <v>418</v>
      </c>
      <c r="C68" s="4" t="s">
        <v>418</v>
      </c>
      <c r="D68" s="33">
        <v>12523</v>
      </c>
      <c r="E68" s="4"/>
      <c r="F68" s="4"/>
      <c r="G68" s="4"/>
      <c r="H68" s="4"/>
      <c r="I68" s="4"/>
      <c r="J68" s="4"/>
      <c r="K68" s="4">
        <f t="shared" si="4"/>
        <v>0</v>
      </c>
    </row>
    <row r="69" spans="1:11" x14ac:dyDescent="0.2">
      <c r="A69" s="4" t="s">
        <v>1320</v>
      </c>
      <c r="B69" s="4"/>
      <c r="C69" s="4"/>
      <c r="D69" s="4">
        <f>SUM(D29:D68)</f>
        <v>2851642</v>
      </c>
      <c r="F69" s="4"/>
      <c r="G69" s="4"/>
      <c r="H69" s="4"/>
      <c r="I69" s="4"/>
      <c r="J69" s="4"/>
      <c r="K69" s="4">
        <f t="shared" si="4"/>
        <v>0</v>
      </c>
    </row>
    <row r="70" spans="1:11" x14ac:dyDescent="0.2">
      <c r="A70" s="4"/>
      <c r="B70" s="4"/>
      <c r="C70" s="4"/>
      <c r="D70" s="4"/>
      <c r="E70" s="4"/>
      <c r="F70" s="4"/>
      <c r="G70" s="4"/>
      <c r="H70" s="4"/>
      <c r="I70" s="4"/>
      <c r="J70" s="4"/>
      <c r="K70" s="4">
        <f t="shared" si="4"/>
        <v>0</v>
      </c>
    </row>
    <row r="71" spans="1:11" ht="13.5" x14ac:dyDescent="0.25">
      <c r="A71" s="61" t="s">
        <v>1023</v>
      </c>
      <c r="B71" s="4"/>
      <c r="C71" s="4"/>
      <c r="D71" s="4"/>
      <c r="E71" s="4">
        <v>32676</v>
      </c>
      <c r="F71" s="4">
        <v>29191</v>
      </c>
      <c r="G71" s="4">
        <v>29242</v>
      </c>
      <c r="H71" s="4">
        <v>29242</v>
      </c>
      <c r="I71" s="4">
        <v>29242</v>
      </c>
      <c r="J71" s="4"/>
      <c r="K71" s="4">
        <f t="shared" si="4"/>
        <v>51</v>
      </c>
    </row>
    <row r="72" spans="1:11" x14ac:dyDescent="0.2">
      <c r="A72" s="4" t="s">
        <v>1016</v>
      </c>
      <c r="B72" s="4" t="s">
        <v>418</v>
      </c>
      <c r="C72" s="4" t="s">
        <v>418</v>
      </c>
      <c r="D72" s="4" t="s">
        <v>418</v>
      </c>
      <c r="E72" s="4"/>
      <c r="F72" s="4"/>
      <c r="G72" s="4"/>
      <c r="H72" s="4"/>
      <c r="I72" s="4"/>
      <c r="J72" s="4"/>
      <c r="K72" s="4">
        <f t="shared" si="4"/>
        <v>0</v>
      </c>
    </row>
    <row r="73" spans="1:11" x14ac:dyDescent="0.2">
      <c r="A73" s="4" t="s">
        <v>516</v>
      </c>
      <c r="B73" s="4">
        <v>435</v>
      </c>
      <c r="C73" s="63">
        <f>+SUM(C20:C23)/40*1.5/4</f>
        <v>67.222499999999997</v>
      </c>
      <c r="D73" s="4">
        <f>ROUND(B73*C73,0)</f>
        <v>29242</v>
      </c>
      <c r="E73" s="4"/>
      <c r="F73" s="4"/>
      <c r="G73" s="4"/>
      <c r="H73" s="4"/>
      <c r="I73" s="4"/>
      <c r="J73" s="4"/>
      <c r="K73" s="4">
        <f t="shared" si="4"/>
        <v>0</v>
      </c>
    </row>
    <row r="74" spans="1:11" x14ac:dyDescent="0.2">
      <c r="A74" s="4"/>
      <c r="B74" s="4"/>
      <c r="C74" s="4"/>
      <c r="D74" s="4"/>
      <c r="E74" s="4"/>
      <c r="F74" s="4"/>
      <c r="G74" s="4"/>
      <c r="H74" s="4"/>
      <c r="I74" s="4"/>
      <c r="J74" s="4"/>
      <c r="K74" s="4">
        <f t="shared" si="4"/>
        <v>0</v>
      </c>
    </row>
    <row r="75" spans="1:11" ht="13.5" x14ac:dyDescent="0.25">
      <c r="A75" s="61" t="s">
        <v>1117</v>
      </c>
      <c r="B75" s="4"/>
      <c r="C75" s="4"/>
      <c r="D75" s="4"/>
      <c r="E75" s="4">
        <v>14177</v>
      </c>
      <c r="F75" s="4">
        <v>26780</v>
      </c>
      <c r="G75" s="4">
        <v>26780</v>
      </c>
      <c r="H75" s="4">
        <v>26780</v>
      </c>
      <c r="I75" s="4">
        <v>27716</v>
      </c>
      <c r="J75" s="4"/>
      <c r="K75" s="4">
        <f t="shared" si="4"/>
        <v>0</v>
      </c>
    </row>
    <row r="76" spans="1:11" ht="15" x14ac:dyDescent="0.35">
      <c r="A76" s="4" t="s">
        <v>1786</v>
      </c>
      <c r="B76" s="4">
        <v>52</v>
      </c>
      <c r="C76" s="4">
        <v>533</v>
      </c>
      <c r="D76" s="33">
        <f>ROUND(B76*C76,0)</f>
        <v>27716</v>
      </c>
      <c r="F76" s="4"/>
      <c r="G76" s="4"/>
      <c r="H76" s="4"/>
      <c r="I76" s="4"/>
      <c r="J76" s="4"/>
      <c r="K76" s="4">
        <f t="shared" si="4"/>
        <v>0</v>
      </c>
    </row>
    <row r="77" spans="1:11" x14ac:dyDescent="0.2">
      <c r="A77" s="4" t="s">
        <v>106</v>
      </c>
      <c r="B77" s="4"/>
      <c r="C77" s="4"/>
      <c r="D77" s="4">
        <f>SUM(D76:D76)</f>
        <v>27716</v>
      </c>
      <c r="E77" s="4"/>
      <c r="F77" s="4"/>
      <c r="G77" s="4"/>
      <c r="H77" s="4"/>
      <c r="I77" s="4"/>
      <c r="J77" s="4"/>
      <c r="K77" s="4">
        <f t="shared" si="4"/>
        <v>0</v>
      </c>
    </row>
    <row r="78" spans="1:11" x14ac:dyDescent="0.2">
      <c r="A78" s="4"/>
      <c r="B78" s="4"/>
      <c r="C78" s="4"/>
      <c r="D78" s="4"/>
      <c r="E78" s="4"/>
      <c r="F78" s="4"/>
      <c r="G78" s="4"/>
      <c r="H78" s="4"/>
      <c r="I78" s="4"/>
      <c r="J78" s="4"/>
      <c r="K78" s="4">
        <f t="shared" si="4"/>
        <v>0</v>
      </c>
    </row>
    <row r="79" spans="1:11" ht="13.5" x14ac:dyDescent="0.25">
      <c r="A79" s="61" t="s">
        <v>613</v>
      </c>
      <c r="B79" s="4"/>
      <c r="C79" s="4"/>
      <c r="D79" s="4"/>
      <c r="E79" s="4">
        <v>30742</v>
      </c>
      <c r="F79" s="4">
        <v>34439</v>
      </c>
      <c r="G79" s="4">
        <v>34439</v>
      </c>
      <c r="H79" s="4">
        <v>34439</v>
      </c>
      <c r="I79" s="4">
        <v>35648</v>
      </c>
      <c r="J79" s="4"/>
      <c r="K79" s="4">
        <f t="shared" si="4"/>
        <v>0</v>
      </c>
    </row>
    <row r="80" spans="1:11" x14ac:dyDescent="0.2">
      <c r="A80" s="4" t="s">
        <v>1996</v>
      </c>
      <c r="B80" s="4">
        <v>571</v>
      </c>
      <c r="C80" s="63">
        <v>18.29</v>
      </c>
      <c r="D80" s="4">
        <f>ROUND(B80*C80,0)</f>
        <v>10444</v>
      </c>
      <c r="E80" s="4"/>
      <c r="F80" s="4"/>
      <c r="G80" s="4"/>
      <c r="H80" s="4"/>
      <c r="I80" s="4"/>
      <c r="J80" s="4"/>
      <c r="K80" s="4">
        <f t="shared" si="4"/>
        <v>0</v>
      </c>
    </row>
    <row r="81" spans="1:11" x14ac:dyDescent="0.2">
      <c r="A81" s="4" t="s">
        <v>1471</v>
      </c>
      <c r="B81" s="4">
        <v>1378</v>
      </c>
      <c r="C81" s="63">
        <v>18.29</v>
      </c>
      <c r="D81" s="4">
        <f>ROUND(B81*C81,0)</f>
        <v>25204</v>
      </c>
      <c r="E81" s="4"/>
      <c r="F81" s="4"/>
      <c r="G81" s="4"/>
      <c r="H81" s="4"/>
      <c r="I81" s="4"/>
      <c r="J81" s="4"/>
      <c r="K81" s="4">
        <f t="shared" si="4"/>
        <v>0</v>
      </c>
    </row>
    <row r="82" spans="1:11" ht="15" x14ac:dyDescent="0.35">
      <c r="A82" s="4" t="s">
        <v>2514</v>
      </c>
      <c r="B82" s="4"/>
      <c r="C82" s="63"/>
      <c r="D82" s="33"/>
      <c r="E82" s="4"/>
      <c r="F82" s="4"/>
      <c r="G82" s="4"/>
      <c r="H82" s="4"/>
      <c r="I82" s="4"/>
      <c r="J82" s="4"/>
      <c r="K82" s="4"/>
    </row>
    <row r="83" spans="1:11" x14ac:dyDescent="0.2">
      <c r="A83" s="4" t="s">
        <v>1320</v>
      </c>
      <c r="B83" s="4"/>
      <c r="C83" s="4"/>
      <c r="D83" s="4">
        <f>SUM(D80:D81)</f>
        <v>35648</v>
      </c>
      <c r="F83" s="4"/>
      <c r="G83" s="4"/>
      <c r="H83" s="4"/>
      <c r="I83" s="4"/>
      <c r="J83" s="4"/>
      <c r="K83" s="4">
        <f t="shared" ref="K83:K146" si="5">+H83-F83</f>
        <v>0</v>
      </c>
    </row>
    <row r="84" spans="1:11" x14ac:dyDescent="0.2">
      <c r="A84" s="4"/>
      <c r="B84" s="4"/>
      <c r="C84" s="4"/>
      <c r="D84" s="4"/>
      <c r="E84" s="4"/>
      <c r="F84" s="4"/>
      <c r="G84" s="4"/>
      <c r="H84" s="4"/>
      <c r="I84" s="4"/>
      <c r="J84" s="4"/>
      <c r="K84" s="4">
        <f t="shared" si="5"/>
        <v>0</v>
      </c>
    </row>
    <row r="85" spans="1:11" ht="13.5" x14ac:dyDescent="0.25">
      <c r="A85" s="61" t="s">
        <v>1472</v>
      </c>
      <c r="B85" s="4"/>
      <c r="C85" s="4"/>
      <c r="D85" s="4"/>
      <c r="E85" s="4">
        <v>356046</v>
      </c>
      <c r="F85" s="4">
        <v>250718</v>
      </c>
      <c r="G85" s="4">
        <v>271990</v>
      </c>
      <c r="H85" s="4">
        <v>271990</v>
      </c>
      <c r="I85" s="4">
        <v>271990</v>
      </c>
      <c r="J85" s="4"/>
      <c r="K85" s="4">
        <f t="shared" si="5"/>
        <v>21272</v>
      </c>
    </row>
    <row r="86" spans="1:11" x14ac:dyDescent="0.2">
      <c r="A86" s="4" t="s">
        <v>105</v>
      </c>
      <c r="B86" s="4">
        <v>4760</v>
      </c>
      <c r="C86" s="63">
        <f>ROUND(C67*1.5,2)</f>
        <v>55.04</v>
      </c>
      <c r="D86" s="4">
        <f>ROUND(B86*C86,0)</f>
        <v>261990</v>
      </c>
      <c r="E86" s="4"/>
      <c r="F86" s="4"/>
      <c r="G86" s="4"/>
      <c r="H86" s="4"/>
      <c r="I86" s="4"/>
      <c r="J86" s="4"/>
      <c r="K86" s="4">
        <f t="shared" si="5"/>
        <v>0</v>
      </c>
    </row>
    <row r="87" spans="1:11" ht="15" x14ac:dyDescent="0.35">
      <c r="A87" s="4" t="s">
        <v>2069</v>
      </c>
      <c r="B87" s="4"/>
      <c r="C87" s="63"/>
      <c r="D87" s="33">
        <v>10000</v>
      </c>
      <c r="E87" s="4"/>
      <c r="F87" s="4"/>
      <c r="G87" s="4"/>
      <c r="H87" s="4"/>
      <c r="I87" s="4"/>
      <c r="J87" s="4"/>
      <c r="K87" s="4">
        <f t="shared" si="5"/>
        <v>0</v>
      </c>
    </row>
    <row r="88" spans="1:11" x14ac:dyDescent="0.2">
      <c r="A88" s="4"/>
      <c r="B88" s="4"/>
      <c r="C88" s="63"/>
      <c r="D88" s="4">
        <f>SUM(D86:D87)</f>
        <v>271990</v>
      </c>
      <c r="E88" s="4"/>
      <c r="F88" s="4"/>
      <c r="G88" s="4"/>
      <c r="H88" s="4"/>
      <c r="I88" s="4"/>
      <c r="J88" s="4"/>
      <c r="K88" s="4">
        <f t="shared" si="5"/>
        <v>0</v>
      </c>
    </row>
    <row r="89" spans="1:11" x14ac:dyDescent="0.2">
      <c r="A89" s="4" t="s">
        <v>418</v>
      </c>
      <c r="B89" s="4" t="s">
        <v>418</v>
      </c>
      <c r="C89" s="4" t="s">
        <v>418</v>
      </c>
      <c r="D89" s="4" t="s">
        <v>418</v>
      </c>
      <c r="E89" s="4"/>
      <c r="F89" s="4"/>
      <c r="G89" s="4"/>
      <c r="H89" s="4"/>
      <c r="I89" s="4"/>
      <c r="J89" s="4"/>
      <c r="K89" s="4">
        <f t="shared" si="5"/>
        <v>0</v>
      </c>
    </row>
    <row r="90" spans="1:11" ht="13.5" x14ac:dyDescent="0.25">
      <c r="A90" s="61" t="s">
        <v>1473</v>
      </c>
      <c r="B90" s="4"/>
      <c r="C90" s="4"/>
      <c r="D90" s="4"/>
      <c r="E90" s="4">
        <v>78535</v>
      </c>
      <c r="F90" s="4">
        <v>80876</v>
      </c>
      <c r="G90" s="4">
        <v>80338</v>
      </c>
      <c r="H90" s="4">
        <v>80338</v>
      </c>
      <c r="I90" s="4">
        <v>81008</v>
      </c>
      <c r="J90" s="4"/>
      <c r="K90" s="4">
        <f t="shared" si="5"/>
        <v>-538</v>
      </c>
    </row>
    <row r="91" spans="1:11" x14ac:dyDescent="0.2">
      <c r="A91" s="4" t="s">
        <v>965</v>
      </c>
      <c r="B91" s="4">
        <f>+D12</f>
        <v>143574</v>
      </c>
      <c r="C91" s="77">
        <v>7.6499999999999999E-2</v>
      </c>
      <c r="D91" s="4">
        <f t="shared" ref="D91:D98" si="6">ROUND(B91*C91,0)</f>
        <v>10983</v>
      </c>
      <c r="E91" s="4"/>
      <c r="F91" s="4"/>
      <c r="G91" s="4"/>
      <c r="H91" s="4"/>
      <c r="I91" s="4"/>
      <c r="J91" s="4"/>
      <c r="K91" s="4">
        <f t="shared" si="5"/>
        <v>0</v>
      </c>
    </row>
    <row r="92" spans="1:11" x14ac:dyDescent="0.2">
      <c r="A92" s="4" t="s">
        <v>1536</v>
      </c>
      <c r="B92" s="4">
        <f>+D26</f>
        <v>943961</v>
      </c>
      <c r="C92" s="77">
        <v>1.4500000000000001E-2</v>
      </c>
      <c r="D92" s="4">
        <f t="shared" si="6"/>
        <v>13687</v>
      </c>
      <c r="E92" s="4"/>
      <c r="F92" s="4"/>
      <c r="G92" s="4"/>
      <c r="H92" s="4"/>
      <c r="I92" s="4"/>
      <c r="J92" s="4"/>
      <c r="K92" s="4">
        <f t="shared" si="5"/>
        <v>0</v>
      </c>
    </row>
    <row r="93" spans="1:11" x14ac:dyDescent="0.2">
      <c r="A93" s="4" t="s">
        <v>1517</v>
      </c>
      <c r="B93" s="4">
        <f>+D17</f>
        <v>93132</v>
      </c>
      <c r="C93" s="77">
        <v>6.2E-2</v>
      </c>
      <c r="D93" s="4">
        <f t="shared" si="6"/>
        <v>5774</v>
      </c>
      <c r="E93" s="4"/>
      <c r="F93" s="4"/>
      <c r="G93" s="4"/>
      <c r="H93" s="4"/>
      <c r="I93" s="4"/>
      <c r="J93" s="4"/>
      <c r="K93" s="4">
        <f t="shared" si="5"/>
        <v>0</v>
      </c>
    </row>
    <row r="94" spans="1:11" x14ac:dyDescent="0.2">
      <c r="A94" s="4" t="s">
        <v>883</v>
      </c>
      <c r="B94" s="4">
        <f>+D69</f>
        <v>2851642</v>
      </c>
      <c r="C94" s="77">
        <v>1.4500000000000001E-2</v>
      </c>
      <c r="D94" s="4">
        <f t="shared" si="6"/>
        <v>41349</v>
      </c>
      <c r="E94" s="4"/>
      <c r="F94" s="4"/>
      <c r="G94" s="4"/>
      <c r="H94" s="4"/>
      <c r="I94" s="4"/>
      <c r="J94" s="4"/>
      <c r="K94" s="4">
        <f t="shared" si="5"/>
        <v>0</v>
      </c>
    </row>
    <row r="95" spans="1:11" x14ac:dyDescent="0.2">
      <c r="A95" s="4" t="s">
        <v>966</v>
      </c>
      <c r="B95" s="4">
        <f>+D73</f>
        <v>29242</v>
      </c>
      <c r="C95" s="77">
        <v>1.4500000000000001E-2</v>
      </c>
      <c r="D95" s="4">
        <f t="shared" si="6"/>
        <v>424</v>
      </c>
      <c r="E95" s="4"/>
      <c r="F95" s="4"/>
      <c r="G95" s="4"/>
      <c r="H95" s="4"/>
      <c r="I95" s="4"/>
      <c r="J95" s="4"/>
      <c r="K95" s="4">
        <f t="shared" si="5"/>
        <v>0</v>
      </c>
    </row>
    <row r="96" spans="1:11" x14ac:dyDescent="0.2">
      <c r="A96" s="4" t="s">
        <v>1474</v>
      </c>
      <c r="B96" s="4">
        <f>+D77</f>
        <v>27716</v>
      </c>
      <c r="C96" s="77">
        <v>7.6499999999999999E-2</v>
      </c>
      <c r="D96" s="4">
        <f t="shared" si="6"/>
        <v>2120</v>
      </c>
      <c r="E96" s="4"/>
      <c r="F96" s="4"/>
      <c r="G96" s="4"/>
      <c r="H96" s="4"/>
      <c r="I96" s="4"/>
      <c r="J96" s="4"/>
      <c r="K96" s="4">
        <f t="shared" si="5"/>
        <v>0</v>
      </c>
    </row>
    <row r="97" spans="1:11" x14ac:dyDescent="0.2">
      <c r="A97" s="4" t="s">
        <v>196</v>
      </c>
      <c r="B97" s="4">
        <f>+D83</f>
        <v>35648</v>
      </c>
      <c r="C97" s="77">
        <v>7.6499999999999999E-2</v>
      </c>
      <c r="D97" s="4">
        <f t="shared" si="6"/>
        <v>2727</v>
      </c>
      <c r="E97" s="4"/>
      <c r="F97" s="4"/>
      <c r="G97" s="4"/>
      <c r="H97" s="4"/>
      <c r="I97" s="4"/>
      <c r="J97" s="4"/>
      <c r="K97" s="4">
        <f t="shared" si="5"/>
        <v>0</v>
      </c>
    </row>
    <row r="98" spans="1:11" ht="15" x14ac:dyDescent="0.35">
      <c r="A98" s="4" t="s">
        <v>197</v>
      </c>
      <c r="B98" s="4">
        <f>+D88</f>
        <v>271990</v>
      </c>
      <c r="C98" s="77">
        <v>1.4500000000000001E-2</v>
      </c>
      <c r="D98" s="33">
        <f t="shared" si="6"/>
        <v>3944</v>
      </c>
      <c r="E98" s="4"/>
      <c r="F98" s="4"/>
      <c r="G98" s="4"/>
      <c r="H98" s="4"/>
      <c r="I98" s="4"/>
      <c r="J98" s="4"/>
      <c r="K98" s="4">
        <f t="shared" si="5"/>
        <v>0</v>
      </c>
    </row>
    <row r="99" spans="1:11" x14ac:dyDescent="0.2">
      <c r="A99" s="4" t="s">
        <v>1320</v>
      </c>
      <c r="B99" s="4"/>
      <c r="C99" s="4"/>
      <c r="D99" s="4">
        <f>SUM(D91:D98)</f>
        <v>81008</v>
      </c>
      <c r="E99" s="4"/>
      <c r="F99" s="4"/>
      <c r="G99" s="4"/>
      <c r="H99" s="4"/>
      <c r="I99" s="4"/>
      <c r="J99" s="4"/>
      <c r="K99" s="4">
        <f t="shared" si="5"/>
        <v>0</v>
      </c>
    </row>
    <row r="100" spans="1:11" ht="13.5" x14ac:dyDescent="0.25">
      <c r="A100" s="201"/>
      <c r="B100" s="4"/>
      <c r="C100" s="4"/>
      <c r="D100" s="4"/>
      <c r="E100" s="4"/>
      <c r="F100" s="4"/>
      <c r="G100" s="4"/>
      <c r="H100" s="4"/>
      <c r="I100" s="4"/>
      <c r="J100" s="4"/>
      <c r="K100" s="4">
        <f t="shared" si="5"/>
        <v>0</v>
      </c>
    </row>
    <row r="101" spans="1:11" ht="13.5" x14ac:dyDescent="0.25">
      <c r="A101" s="61" t="s">
        <v>1475</v>
      </c>
      <c r="B101" s="4"/>
      <c r="C101" s="4"/>
      <c r="D101" s="4"/>
      <c r="E101" s="4">
        <v>1275224</v>
      </c>
      <c r="F101" s="4">
        <v>1339062</v>
      </c>
      <c r="G101" s="4">
        <v>1284685</v>
      </c>
      <c r="H101" s="4">
        <v>1284685</v>
      </c>
      <c r="I101" s="4">
        <v>1288158</v>
      </c>
      <c r="J101" s="4"/>
      <c r="K101" s="4">
        <f t="shared" si="5"/>
        <v>-54377</v>
      </c>
    </row>
    <row r="102" spans="1:11" x14ac:dyDescent="0.2">
      <c r="A102" s="4" t="s">
        <v>965</v>
      </c>
      <c r="B102" s="4">
        <f>+D12</f>
        <v>143574</v>
      </c>
      <c r="C102" s="495">
        <v>0.1353</v>
      </c>
      <c r="D102" s="4">
        <f t="shared" ref="D102:D107" si="7">ROUND(B102*C102,0)</f>
        <v>19426</v>
      </c>
      <c r="E102" s="4"/>
      <c r="F102" s="4"/>
      <c r="G102" s="4"/>
      <c r="H102" s="4"/>
      <c r="I102" s="4"/>
      <c r="J102" s="4"/>
      <c r="K102" s="4">
        <f t="shared" si="5"/>
        <v>0</v>
      </c>
    </row>
    <row r="103" spans="1:11" x14ac:dyDescent="0.2">
      <c r="A103" s="4" t="s">
        <v>1536</v>
      </c>
      <c r="B103" s="4">
        <f>+D26-B93</f>
        <v>850829</v>
      </c>
      <c r="C103" s="507">
        <v>0.31280000000000002</v>
      </c>
      <c r="D103" s="4">
        <f t="shared" si="7"/>
        <v>266139</v>
      </c>
      <c r="E103" s="4"/>
      <c r="F103" s="4"/>
      <c r="G103" s="4"/>
      <c r="H103" s="4"/>
      <c r="I103" s="4"/>
      <c r="J103" s="4"/>
      <c r="K103" s="4">
        <f t="shared" si="5"/>
        <v>0</v>
      </c>
    </row>
    <row r="104" spans="1:11" x14ac:dyDescent="0.2">
      <c r="A104" s="4" t="s">
        <v>1517</v>
      </c>
      <c r="B104" s="4">
        <f>+B93</f>
        <v>93132</v>
      </c>
      <c r="C104" s="495">
        <v>0.1353</v>
      </c>
      <c r="D104" s="4">
        <f t="shared" si="7"/>
        <v>12601</v>
      </c>
      <c r="E104" s="4"/>
      <c r="F104" s="4"/>
      <c r="G104" s="4"/>
      <c r="H104" s="4"/>
      <c r="I104" s="4"/>
      <c r="J104" s="4"/>
      <c r="K104" s="4">
        <f t="shared" si="5"/>
        <v>0</v>
      </c>
    </row>
    <row r="105" spans="1:11" x14ac:dyDescent="0.2">
      <c r="A105" s="4" t="s">
        <v>883</v>
      </c>
      <c r="B105" s="4">
        <f>+D69</f>
        <v>2851642</v>
      </c>
      <c r="C105" s="507">
        <v>0.31280000000000002</v>
      </c>
      <c r="D105" s="4">
        <f t="shared" si="7"/>
        <v>891994</v>
      </c>
      <c r="E105" s="4"/>
      <c r="F105" s="4"/>
      <c r="G105" s="4"/>
      <c r="H105" s="4"/>
      <c r="I105" s="4"/>
      <c r="J105" s="4"/>
      <c r="K105" s="4">
        <f t="shared" si="5"/>
        <v>0</v>
      </c>
    </row>
    <row r="106" spans="1:11" x14ac:dyDescent="0.2">
      <c r="A106" s="4" t="s">
        <v>966</v>
      </c>
      <c r="B106" s="4">
        <f>+D73</f>
        <v>29242</v>
      </c>
      <c r="C106" s="507">
        <v>0.31280000000000002</v>
      </c>
      <c r="D106" s="4">
        <f t="shared" si="7"/>
        <v>9147</v>
      </c>
      <c r="E106" s="4"/>
      <c r="F106" s="4"/>
      <c r="G106" s="4"/>
      <c r="H106" s="4"/>
      <c r="I106" s="4"/>
      <c r="J106" s="4"/>
      <c r="K106" s="4">
        <f t="shared" si="5"/>
        <v>0</v>
      </c>
    </row>
    <row r="107" spans="1:11" x14ac:dyDescent="0.2">
      <c r="A107" s="4" t="s">
        <v>1474</v>
      </c>
      <c r="B107" s="4">
        <f>+B96</f>
        <v>27716</v>
      </c>
      <c r="C107" s="495">
        <v>0.1353</v>
      </c>
      <c r="D107" s="4">
        <f t="shared" si="7"/>
        <v>3750</v>
      </c>
      <c r="E107" s="4"/>
      <c r="F107" s="4"/>
      <c r="G107" s="4"/>
      <c r="H107" s="4"/>
      <c r="I107" s="4"/>
      <c r="J107" s="4"/>
      <c r="K107" s="4">
        <f t="shared" si="5"/>
        <v>0</v>
      </c>
    </row>
    <row r="108" spans="1:11" ht="15" x14ac:dyDescent="0.35">
      <c r="A108" s="4" t="s">
        <v>197</v>
      </c>
      <c r="B108" s="4">
        <f>+D88</f>
        <v>271990</v>
      </c>
      <c r="C108" s="507">
        <v>0.31280000000000002</v>
      </c>
      <c r="D108" s="33">
        <f>ROUND(B108*C108,0)+23</f>
        <v>85101</v>
      </c>
      <c r="E108" s="4"/>
      <c r="F108" s="4"/>
      <c r="G108" s="4"/>
      <c r="H108" s="4"/>
      <c r="I108" s="4"/>
      <c r="J108" s="4"/>
      <c r="K108" s="4">
        <f t="shared" si="5"/>
        <v>0</v>
      </c>
    </row>
    <row r="109" spans="1:11" x14ac:dyDescent="0.2">
      <c r="A109" s="4" t="s">
        <v>1320</v>
      </c>
      <c r="B109" s="4"/>
      <c r="C109" s="4"/>
      <c r="D109" s="4">
        <f>SUM(D102:D108)</f>
        <v>1288158</v>
      </c>
      <c r="E109" s="4"/>
      <c r="F109" s="4"/>
      <c r="G109" s="4"/>
      <c r="H109" s="4"/>
      <c r="I109" s="4"/>
      <c r="J109" s="4"/>
      <c r="K109" s="4">
        <f t="shared" si="5"/>
        <v>0</v>
      </c>
    </row>
    <row r="110" spans="1:11" ht="13.5" x14ac:dyDescent="0.25">
      <c r="A110" s="201"/>
      <c r="B110" s="4"/>
      <c r="C110" s="4"/>
      <c r="D110" s="4"/>
      <c r="E110" s="4"/>
      <c r="F110" s="4"/>
      <c r="G110" s="4"/>
      <c r="H110" s="4"/>
      <c r="I110" s="4"/>
      <c r="J110" s="4"/>
      <c r="K110" s="4">
        <f t="shared" si="5"/>
        <v>0</v>
      </c>
    </row>
    <row r="111" spans="1:11" ht="13.5" x14ac:dyDescent="0.25">
      <c r="A111" s="61" t="s">
        <v>385</v>
      </c>
      <c r="B111" s="4"/>
      <c r="C111" s="4"/>
      <c r="D111" s="4"/>
      <c r="E111" s="4">
        <v>857141</v>
      </c>
      <c r="F111" s="4">
        <v>927000</v>
      </c>
      <c r="G111" s="4">
        <v>988250</v>
      </c>
      <c r="H111" s="4">
        <v>988250</v>
      </c>
      <c r="I111" s="4">
        <v>988250</v>
      </c>
      <c r="J111" s="4"/>
      <c r="K111" s="4">
        <f t="shared" si="5"/>
        <v>61250</v>
      </c>
    </row>
    <row r="112" spans="1:11" hidden="1" x14ac:dyDescent="0.2">
      <c r="A112" s="4" t="s">
        <v>1801</v>
      </c>
      <c r="B112" s="4">
        <v>37</v>
      </c>
      <c r="C112" s="3">
        <v>20250</v>
      </c>
      <c r="D112" s="4">
        <f>ROUND(B112*C112,0)-4000</f>
        <v>745250</v>
      </c>
      <c r="E112" s="4"/>
      <c r="F112" s="4"/>
      <c r="G112" s="4"/>
      <c r="H112" s="4"/>
      <c r="I112" s="4"/>
      <c r="J112" s="4"/>
      <c r="K112" s="4">
        <f t="shared" si="5"/>
        <v>0</v>
      </c>
    </row>
    <row r="113" spans="1:11" hidden="1" x14ac:dyDescent="0.2">
      <c r="A113" s="4" t="s">
        <v>36</v>
      </c>
      <c r="B113" s="4">
        <v>6</v>
      </c>
      <c r="C113" s="3">
        <v>20250</v>
      </c>
      <c r="D113" s="4">
        <f>ROUND(B113*C113,0)</f>
        <v>121500</v>
      </c>
      <c r="E113" s="4"/>
      <c r="F113" s="4"/>
      <c r="G113" s="4"/>
      <c r="H113" s="4"/>
      <c r="I113" s="4"/>
      <c r="J113" s="4"/>
      <c r="K113" s="4">
        <f t="shared" si="5"/>
        <v>0</v>
      </c>
    </row>
    <row r="114" spans="1:11" hidden="1" x14ac:dyDescent="0.2">
      <c r="A114" s="4" t="s">
        <v>1300</v>
      </c>
      <c r="B114" s="4">
        <v>2</v>
      </c>
      <c r="C114" s="3">
        <v>20250</v>
      </c>
      <c r="D114" s="4">
        <f>ROUND(B114*C114,0)</f>
        <v>40500</v>
      </c>
      <c r="E114" s="4"/>
      <c r="F114" s="4"/>
      <c r="G114" s="4"/>
      <c r="H114" s="4"/>
      <c r="I114" s="4"/>
      <c r="J114" s="4"/>
      <c r="K114" s="4">
        <f t="shared" si="5"/>
        <v>0</v>
      </c>
    </row>
    <row r="115" spans="1:11" hidden="1" x14ac:dyDescent="0.2">
      <c r="A115" s="4" t="s">
        <v>323</v>
      </c>
      <c r="B115" s="4">
        <v>4</v>
      </c>
      <c r="C115" s="3">
        <v>20250</v>
      </c>
      <c r="D115" s="4">
        <f>ROUND(B115*C115,0)</f>
        <v>81000</v>
      </c>
      <c r="E115" s="4"/>
      <c r="F115" s="4"/>
      <c r="G115" s="4"/>
      <c r="H115" s="4"/>
      <c r="I115" s="4"/>
      <c r="J115" s="4"/>
      <c r="K115" s="4">
        <f t="shared" si="5"/>
        <v>0</v>
      </c>
    </row>
    <row r="116" spans="1:11" ht="15" hidden="1" x14ac:dyDescent="0.35">
      <c r="A116" s="4" t="s">
        <v>1802</v>
      </c>
      <c r="B116" s="4" t="s">
        <v>418</v>
      </c>
      <c r="C116" s="4" t="s">
        <v>418</v>
      </c>
      <c r="D116" s="33">
        <v>0</v>
      </c>
      <c r="E116" s="4"/>
      <c r="F116" s="4"/>
      <c r="G116" s="4"/>
      <c r="H116" s="4"/>
      <c r="I116" s="4"/>
      <c r="J116" s="4"/>
      <c r="K116" s="4">
        <f t="shared" si="5"/>
        <v>0</v>
      </c>
    </row>
    <row r="117" spans="1:11" hidden="1" x14ac:dyDescent="0.2">
      <c r="A117" s="4" t="s">
        <v>877</v>
      </c>
      <c r="B117" s="4"/>
      <c r="C117" s="4"/>
      <c r="D117" s="4">
        <f>SUM(D112:D116)</f>
        <v>988250</v>
      </c>
      <c r="E117" s="4"/>
      <c r="F117" s="4"/>
      <c r="G117" s="4"/>
      <c r="H117" s="4"/>
      <c r="I117" s="4"/>
      <c r="J117" s="4"/>
      <c r="K117" s="4">
        <f t="shared" si="5"/>
        <v>0</v>
      </c>
    </row>
    <row r="118" spans="1:11" x14ac:dyDescent="0.2">
      <c r="A118" s="4"/>
      <c r="B118" s="4"/>
      <c r="C118" s="4"/>
      <c r="D118" s="4"/>
      <c r="E118" s="4"/>
      <c r="F118" s="4"/>
      <c r="G118" s="4"/>
      <c r="H118" s="4"/>
      <c r="I118" s="4"/>
      <c r="J118" s="4"/>
      <c r="K118" s="4">
        <f t="shared" si="5"/>
        <v>0</v>
      </c>
    </row>
    <row r="119" spans="1:11" ht="13.5" x14ac:dyDescent="0.25">
      <c r="A119" s="61" t="s">
        <v>726</v>
      </c>
      <c r="B119" s="4"/>
      <c r="C119" s="4"/>
      <c r="D119" s="4"/>
      <c r="E119" s="4">
        <v>54462</v>
      </c>
      <c r="F119" s="4">
        <v>60638</v>
      </c>
      <c r="G119" s="4">
        <v>60638</v>
      </c>
      <c r="H119" s="4">
        <v>60638</v>
      </c>
      <c r="I119" s="4">
        <v>60638</v>
      </c>
      <c r="J119" s="4"/>
      <c r="K119" s="4">
        <f t="shared" si="5"/>
        <v>0</v>
      </c>
    </row>
    <row r="120" spans="1:11" hidden="1" x14ac:dyDescent="0.2">
      <c r="A120" s="4" t="s">
        <v>322</v>
      </c>
      <c r="B120" s="4">
        <v>43</v>
      </c>
      <c r="C120" s="4">
        <v>1375</v>
      </c>
      <c r="D120" s="4">
        <f>ROUND(B120*C120,0)</f>
        <v>59125</v>
      </c>
      <c r="E120" s="4"/>
      <c r="F120" s="4"/>
      <c r="G120" s="4"/>
      <c r="H120" s="4"/>
      <c r="I120" s="4"/>
      <c r="J120" s="4"/>
      <c r="K120" s="4">
        <f t="shared" si="5"/>
        <v>0</v>
      </c>
    </row>
    <row r="121" spans="1:11" hidden="1" x14ac:dyDescent="0.2">
      <c r="A121" s="4" t="s">
        <v>1300</v>
      </c>
      <c r="B121" s="4">
        <v>2</v>
      </c>
      <c r="C121" s="4">
        <v>1375</v>
      </c>
      <c r="D121" s="4">
        <f>ROUND(B121*C121,0)</f>
        <v>2750</v>
      </c>
      <c r="E121" s="4"/>
      <c r="F121" s="4"/>
      <c r="G121" s="4"/>
      <c r="H121" s="4"/>
      <c r="I121" s="4"/>
      <c r="J121" s="4"/>
      <c r="K121" s="4">
        <f t="shared" si="5"/>
        <v>0</v>
      </c>
    </row>
    <row r="122" spans="1:11" hidden="1" x14ac:dyDescent="0.2">
      <c r="A122" s="4" t="s">
        <v>1460</v>
      </c>
      <c r="B122" s="4"/>
      <c r="C122" s="4"/>
      <c r="D122" s="4">
        <f>+C121*-0.1*45</f>
        <v>-6187.5</v>
      </c>
      <c r="E122" s="4"/>
      <c r="F122" s="4"/>
      <c r="G122" s="4"/>
      <c r="H122" s="4"/>
      <c r="I122" s="4"/>
      <c r="J122" s="4"/>
      <c r="K122" s="4">
        <f t="shared" si="5"/>
        <v>0</v>
      </c>
    </row>
    <row r="123" spans="1:11" hidden="1" x14ac:dyDescent="0.2">
      <c r="A123" s="4" t="s">
        <v>323</v>
      </c>
      <c r="B123" s="4">
        <v>4</v>
      </c>
      <c r="C123" s="4">
        <v>1375</v>
      </c>
      <c r="D123" s="4">
        <f>ROUND(B123*C123,0)</f>
        <v>5500</v>
      </c>
      <c r="E123" s="4"/>
      <c r="F123" s="4"/>
      <c r="G123" s="4"/>
      <c r="H123" s="4"/>
      <c r="I123" s="4"/>
      <c r="J123" s="4"/>
      <c r="K123" s="4">
        <f t="shared" si="5"/>
        <v>0</v>
      </c>
    </row>
    <row r="124" spans="1:11" ht="15" hidden="1" x14ac:dyDescent="0.35">
      <c r="A124" s="4" t="s">
        <v>243</v>
      </c>
      <c r="B124" s="4"/>
      <c r="C124" s="4"/>
      <c r="D124" s="33">
        <f>+C123*-0.1*B123</f>
        <v>-550</v>
      </c>
      <c r="E124" s="4"/>
      <c r="F124" s="4"/>
      <c r="G124" s="4"/>
      <c r="H124" s="4"/>
      <c r="I124" s="4"/>
      <c r="J124" s="4"/>
      <c r="K124" s="4">
        <f t="shared" si="5"/>
        <v>0</v>
      </c>
    </row>
    <row r="125" spans="1:11" hidden="1" x14ac:dyDescent="0.2">
      <c r="A125" s="4" t="s">
        <v>877</v>
      </c>
      <c r="B125" s="4"/>
      <c r="C125" s="4"/>
      <c r="D125" s="4">
        <f>SUM(D120:D124)</f>
        <v>60637.5</v>
      </c>
      <c r="F125" s="4"/>
      <c r="G125" s="4"/>
      <c r="H125" s="4"/>
      <c r="I125" s="4"/>
      <c r="J125" s="4"/>
      <c r="K125" s="4">
        <f t="shared" si="5"/>
        <v>0</v>
      </c>
    </row>
    <row r="126" spans="1:11" x14ac:dyDescent="0.2">
      <c r="A126" s="4"/>
      <c r="B126" s="4"/>
      <c r="C126" s="4"/>
      <c r="D126" s="4"/>
      <c r="E126" s="4"/>
      <c r="F126" s="4"/>
      <c r="G126" s="4"/>
      <c r="H126" s="4"/>
      <c r="I126" s="4"/>
      <c r="J126" s="4"/>
      <c r="K126" s="4">
        <f t="shared" si="5"/>
        <v>0</v>
      </c>
    </row>
    <row r="127" spans="1:11" ht="13.5" x14ac:dyDescent="0.25">
      <c r="A127" s="61" t="s">
        <v>727</v>
      </c>
      <c r="B127" s="4"/>
      <c r="C127" s="4"/>
      <c r="D127" s="4"/>
      <c r="E127" s="4">
        <v>3280</v>
      </c>
      <c r="F127" s="4">
        <v>2998</v>
      </c>
      <c r="G127" s="4">
        <v>3035</v>
      </c>
      <c r="H127" s="4">
        <v>3035</v>
      </c>
      <c r="I127" s="4">
        <v>3035</v>
      </c>
      <c r="J127" s="4"/>
      <c r="K127" s="4">
        <f t="shared" si="5"/>
        <v>37</v>
      </c>
    </row>
    <row r="128" spans="1:11" hidden="1" x14ac:dyDescent="0.2">
      <c r="A128" s="4" t="s">
        <v>239</v>
      </c>
      <c r="B128" s="4">
        <v>4</v>
      </c>
      <c r="C128" s="4">
        <v>145</v>
      </c>
      <c r="D128" s="4">
        <f>ROUND(B128*C128,0)</f>
        <v>580</v>
      </c>
      <c r="E128" s="4"/>
      <c r="F128" s="4"/>
      <c r="G128" s="4"/>
      <c r="H128" s="4"/>
      <c r="I128" s="4"/>
      <c r="J128" s="4"/>
      <c r="K128" s="4">
        <f t="shared" si="5"/>
        <v>0</v>
      </c>
    </row>
    <row r="129" spans="1:11" hidden="1" x14ac:dyDescent="0.2">
      <c r="A129" s="4" t="s">
        <v>1301</v>
      </c>
      <c r="B129" s="4">
        <v>2</v>
      </c>
      <c r="C129" s="4">
        <v>145</v>
      </c>
      <c r="D129" s="4">
        <f>ROUND(B129*C129,0)</f>
        <v>290</v>
      </c>
      <c r="E129" s="4"/>
      <c r="F129" s="4"/>
      <c r="G129" s="4"/>
      <c r="H129" s="4"/>
      <c r="I129" s="4"/>
      <c r="J129" s="4"/>
      <c r="K129" s="4">
        <f t="shared" si="5"/>
        <v>0</v>
      </c>
    </row>
    <row r="130" spans="1:11" hidden="1" x14ac:dyDescent="0.2">
      <c r="A130" s="4" t="s">
        <v>1810</v>
      </c>
      <c r="B130" s="4">
        <v>6</v>
      </c>
      <c r="C130" s="4">
        <v>145</v>
      </c>
      <c r="D130" s="4">
        <f>ROUND(B130*C130,0)</f>
        <v>870</v>
      </c>
      <c r="E130" s="4"/>
      <c r="F130" s="4"/>
      <c r="G130" s="4"/>
      <c r="H130" s="4"/>
      <c r="I130" s="4"/>
      <c r="J130" s="4"/>
      <c r="K130" s="4">
        <f t="shared" si="5"/>
        <v>0</v>
      </c>
    </row>
    <row r="131" spans="1:11" ht="15" hidden="1" x14ac:dyDescent="0.35">
      <c r="A131" s="4" t="s">
        <v>1935</v>
      </c>
      <c r="B131" s="4">
        <v>37</v>
      </c>
      <c r="C131" s="4">
        <v>35</v>
      </c>
      <c r="D131" s="33">
        <f>ROUND(B131*C131,0)</f>
        <v>1295</v>
      </c>
      <c r="E131" s="4"/>
      <c r="F131" s="4"/>
      <c r="G131" s="4"/>
      <c r="H131" s="4"/>
      <c r="I131" s="4"/>
      <c r="J131" s="4"/>
      <c r="K131" s="4">
        <f t="shared" si="5"/>
        <v>0</v>
      </c>
    </row>
    <row r="132" spans="1:11" hidden="1" x14ac:dyDescent="0.2">
      <c r="A132" s="4" t="s">
        <v>1320</v>
      </c>
      <c r="B132" s="4"/>
      <c r="C132" s="4"/>
      <c r="D132" s="4">
        <f>SUM(D128:D131)</f>
        <v>3035</v>
      </c>
      <c r="E132" s="4"/>
      <c r="F132" s="4"/>
      <c r="G132" s="4"/>
      <c r="H132" s="4"/>
      <c r="I132" s="4"/>
      <c r="J132" s="4"/>
      <c r="K132" s="4">
        <f t="shared" si="5"/>
        <v>0</v>
      </c>
    </row>
    <row r="133" spans="1:11" x14ac:dyDescent="0.2">
      <c r="A133" s="4"/>
      <c r="B133" s="4"/>
      <c r="C133" s="4"/>
      <c r="D133" s="4"/>
      <c r="E133" s="4"/>
      <c r="F133" s="4"/>
      <c r="G133" s="4"/>
      <c r="H133" s="4"/>
      <c r="I133" s="4"/>
      <c r="J133" s="4"/>
      <c r="K133" s="4">
        <f t="shared" si="5"/>
        <v>0</v>
      </c>
    </row>
    <row r="134" spans="1:11" ht="13.5" x14ac:dyDescent="0.25">
      <c r="A134" s="61" t="s">
        <v>728</v>
      </c>
      <c r="B134" s="4"/>
      <c r="C134" s="4"/>
      <c r="D134" s="4"/>
      <c r="E134" s="4">
        <v>25044</v>
      </c>
      <c r="F134" s="4">
        <v>25725</v>
      </c>
      <c r="G134" s="4">
        <v>27685</v>
      </c>
      <c r="H134" s="4">
        <v>27685</v>
      </c>
      <c r="I134" s="4">
        <v>27685</v>
      </c>
      <c r="J134" s="4"/>
      <c r="K134" s="4">
        <f t="shared" si="5"/>
        <v>1960</v>
      </c>
    </row>
    <row r="135" spans="1:11" hidden="1" x14ac:dyDescent="0.2">
      <c r="A135" s="4" t="s">
        <v>239</v>
      </c>
      <c r="B135" s="4">
        <v>4</v>
      </c>
      <c r="C135" s="3">
        <v>565</v>
      </c>
      <c r="D135" s="4">
        <f>ROUND(B135*C135,0)</f>
        <v>2260</v>
      </c>
      <c r="E135" s="4"/>
      <c r="F135" s="4"/>
      <c r="G135" s="4"/>
      <c r="H135" s="4"/>
      <c r="I135" s="4"/>
      <c r="J135" s="4"/>
      <c r="K135" s="4">
        <f t="shared" si="5"/>
        <v>0</v>
      </c>
    </row>
    <row r="136" spans="1:11" hidden="1" x14ac:dyDescent="0.2">
      <c r="A136" s="4" t="s">
        <v>1301</v>
      </c>
      <c r="B136" s="4">
        <v>2</v>
      </c>
      <c r="C136" s="3">
        <v>565</v>
      </c>
      <c r="D136" s="4">
        <f>ROUND(B136*C136,0)</f>
        <v>1130</v>
      </c>
      <c r="E136" s="4"/>
      <c r="F136" s="4"/>
      <c r="G136" s="4"/>
      <c r="H136" s="4"/>
      <c r="I136" s="4"/>
      <c r="J136" s="4"/>
      <c r="K136" s="4">
        <f t="shared" si="5"/>
        <v>0</v>
      </c>
    </row>
    <row r="137" spans="1:11" ht="15" hidden="1" x14ac:dyDescent="0.35">
      <c r="A137" s="4" t="s">
        <v>1479</v>
      </c>
      <c r="B137" s="4">
        <v>43</v>
      </c>
      <c r="C137" s="3">
        <v>565</v>
      </c>
      <c r="D137" s="33">
        <f>ROUND(B137*C137,0)</f>
        <v>24295</v>
      </c>
      <c r="E137" s="4"/>
      <c r="F137" s="4"/>
      <c r="G137" s="4"/>
      <c r="H137" s="4"/>
      <c r="I137" s="4"/>
      <c r="J137" s="4"/>
      <c r="K137" s="4">
        <f t="shared" si="5"/>
        <v>0</v>
      </c>
    </row>
    <row r="138" spans="1:11" hidden="1" x14ac:dyDescent="0.2">
      <c r="A138" s="4" t="s">
        <v>1320</v>
      </c>
      <c r="B138" s="4"/>
      <c r="C138" s="4"/>
      <c r="D138" s="4">
        <f>SUM(D135:D137)</f>
        <v>27685</v>
      </c>
      <c r="E138" s="4"/>
      <c r="F138" s="4"/>
      <c r="G138" s="4"/>
      <c r="H138" s="4"/>
      <c r="I138" s="4"/>
      <c r="J138" s="4"/>
      <c r="K138" s="4">
        <f t="shared" si="5"/>
        <v>0</v>
      </c>
    </row>
    <row r="139" spans="1:11" x14ac:dyDescent="0.2">
      <c r="A139" s="4"/>
      <c r="B139" s="4"/>
      <c r="C139" s="4"/>
      <c r="D139" s="4"/>
      <c r="E139" s="4"/>
      <c r="F139" s="4"/>
      <c r="G139" s="4"/>
      <c r="H139" s="4"/>
      <c r="I139" s="4"/>
      <c r="J139" s="4"/>
      <c r="K139" s="4">
        <f t="shared" si="5"/>
        <v>0</v>
      </c>
    </row>
    <row r="140" spans="1:11" ht="13.5" x14ac:dyDescent="0.25">
      <c r="A140" s="61" t="s">
        <v>1142</v>
      </c>
      <c r="B140" s="4"/>
      <c r="C140" s="4"/>
      <c r="D140" s="4"/>
      <c r="E140" s="4">
        <v>57783</v>
      </c>
      <c r="F140" s="4">
        <v>72026</v>
      </c>
      <c r="G140" s="4">
        <v>80201</v>
      </c>
      <c r="H140" s="4">
        <v>80201</v>
      </c>
      <c r="I140" s="4">
        <v>80471</v>
      </c>
      <c r="J140" s="4"/>
      <c r="K140" s="4">
        <f t="shared" si="5"/>
        <v>8175</v>
      </c>
    </row>
    <row r="141" spans="1:11" x14ac:dyDescent="0.2">
      <c r="A141" s="4" t="s">
        <v>965</v>
      </c>
      <c r="B141" s="4">
        <f>+D12</f>
        <v>143574</v>
      </c>
      <c r="C141" s="77">
        <v>1.89E-3</v>
      </c>
      <c r="D141" s="4">
        <f t="shared" ref="D141:D148" si="8">ROUND(B141*C141,0)</f>
        <v>271</v>
      </c>
      <c r="E141" s="4"/>
      <c r="F141" s="4"/>
      <c r="G141" s="4"/>
      <c r="H141" s="4"/>
      <c r="I141" s="4"/>
      <c r="J141" s="4"/>
      <c r="K141" s="4">
        <f t="shared" si="5"/>
        <v>0</v>
      </c>
    </row>
    <row r="142" spans="1:11" x14ac:dyDescent="0.2">
      <c r="A142" s="4" t="s">
        <v>1536</v>
      </c>
      <c r="B142" s="4">
        <f>+D26</f>
        <v>943961</v>
      </c>
      <c r="C142" s="77">
        <v>1.9279999999999999E-2</v>
      </c>
      <c r="D142" s="4">
        <f>ROUND(B142*C142,0)</f>
        <v>18200</v>
      </c>
      <c r="E142" s="4"/>
      <c r="F142" s="4"/>
      <c r="G142" s="4"/>
      <c r="H142" s="4"/>
      <c r="I142" s="4"/>
      <c r="J142" s="4"/>
      <c r="K142" s="4">
        <f t="shared" si="5"/>
        <v>0</v>
      </c>
    </row>
    <row r="143" spans="1:11" x14ac:dyDescent="0.2">
      <c r="A143" s="4" t="str">
        <f>+A104</f>
        <v>8103 Prosecutor</v>
      </c>
      <c r="B143" s="4">
        <f>+B104</f>
        <v>93132</v>
      </c>
      <c r="C143" s="77">
        <v>1.89E-3</v>
      </c>
      <c r="D143" s="4">
        <f t="shared" si="8"/>
        <v>176</v>
      </c>
      <c r="E143" s="4"/>
      <c r="F143" s="4"/>
      <c r="G143" s="4"/>
      <c r="H143" s="4"/>
      <c r="I143" s="4"/>
      <c r="J143" s="4"/>
      <c r="K143" s="4">
        <f t="shared" si="5"/>
        <v>0</v>
      </c>
    </row>
    <row r="144" spans="1:11" x14ac:dyDescent="0.2">
      <c r="A144" s="4" t="s">
        <v>883</v>
      </c>
      <c r="B144" s="4">
        <f>+D69</f>
        <v>2851642</v>
      </c>
      <c r="C144" s="77">
        <v>1.9279999999999999E-2</v>
      </c>
      <c r="D144" s="4">
        <f>ROUND(B144*C144,0)-16</f>
        <v>54964</v>
      </c>
      <c r="E144" s="4"/>
      <c r="F144" s="4"/>
      <c r="G144" s="4"/>
      <c r="H144" s="4"/>
      <c r="I144" s="4"/>
      <c r="J144" s="4"/>
      <c r="K144" s="4">
        <f t="shared" si="5"/>
        <v>0</v>
      </c>
    </row>
    <row r="145" spans="1:11" x14ac:dyDescent="0.2">
      <c r="A145" s="220" t="s">
        <v>966</v>
      </c>
      <c r="B145" s="4">
        <f>ROUND(B106,0)</f>
        <v>29242</v>
      </c>
      <c r="C145" s="77">
        <v>1.9279999999999999E-2</v>
      </c>
      <c r="D145" s="4">
        <f t="shared" si="8"/>
        <v>564</v>
      </c>
      <c r="E145" s="4"/>
      <c r="F145" s="4"/>
      <c r="G145" s="4"/>
      <c r="H145" s="4"/>
      <c r="I145" s="4"/>
      <c r="J145" s="4"/>
      <c r="K145" s="4">
        <f t="shared" si="5"/>
        <v>0</v>
      </c>
    </row>
    <row r="146" spans="1:11" x14ac:dyDescent="0.2">
      <c r="A146" s="4" t="s">
        <v>1474</v>
      </c>
      <c r="B146" s="4">
        <f>+B107</f>
        <v>27716</v>
      </c>
      <c r="C146" s="77">
        <v>1.329E-2</v>
      </c>
      <c r="D146" s="4">
        <f t="shared" si="8"/>
        <v>368</v>
      </c>
      <c r="E146" s="4"/>
      <c r="F146" s="4"/>
      <c r="G146" s="4"/>
      <c r="H146" s="4"/>
      <c r="I146" s="4"/>
      <c r="J146" s="4"/>
      <c r="K146" s="4">
        <f t="shared" si="5"/>
        <v>0</v>
      </c>
    </row>
    <row r="147" spans="1:11" x14ac:dyDescent="0.2">
      <c r="A147" s="4" t="s">
        <v>196</v>
      </c>
      <c r="B147" s="4">
        <f>+D83</f>
        <v>35648</v>
      </c>
      <c r="C147" s="77">
        <v>1.9279999999999999E-2</v>
      </c>
      <c r="D147" s="4">
        <f t="shared" si="8"/>
        <v>687</v>
      </c>
      <c r="E147" s="4"/>
      <c r="F147" s="4"/>
      <c r="G147" s="4"/>
      <c r="H147" s="4"/>
      <c r="I147" s="4"/>
      <c r="J147" s="4"/>
      <c r="K147" s="4">
        <f t="shared" ref="K147:K207" si="9">+H147-F147</f>
        <v>0</v>
      </c>
    </row>
    <row r="148" spans="1:11" ht="15" x14ac:dyDescent="0.35">
      <c r="A148" s="220" t="s">
        <v>197</v>
      </c>
      <c r="B148" s="4">
        <f>+D88</f>
        <v>271990</v>
      </c>
      <c r="C148" s="77">
        <v>1.9279999999999999E-2</v>
      </c>
      <c r="D148" s="33">
        <f t="shared" si="8"/>
        <v>5244</v>
      </c>
      <c r="E148" s="4"/>
      <c r="F148" s="4"/>
      <c r="G148" s="4"/>
      <c r="H148" s="4"/>
      <c r="I148" s="4"/>
      <c r="J148" s="4"/>
      <c r="K148" s="4">
        <f t="shared" si="9"/>
        <v>0</v>
      </c>
    </row>
    <row r="149" spans="1:11" x14ac:dyDescent="0.2">
      <c r="A149" s="4" t="s">
        <v>1320</v>
      </c>
      <c r="B149" s="4"/>
      <c r="C149" s="4"/>
      <c r="D149" s="4">
        <f>SUM(D141:D148)-3</f>
        <v>80471</v>
      </c>
      <c r="E149" s="4"/>
      <c r="F149" s="4"/>
      <c r="G149" s="4"/>
      <c r="H149" s="4"/>
      <c r="I149" s="4"/>
      <c r="J149" s="4"/>
      <c r="K149" s="4">
        <f t="shared" si="9"/>
        <v>0</v>
      </c>
    </row>
    <row r="150" spans="1:11" x14ac:dyDescent="0.2">
      <c r="A150" s="4"/>
      <c r="B150" s="4"/>
      <c r="C150" s="4"/>
      <c r="D150" s="4"/>
      <c r="E150" s="4"/>
      <c r="F150" s="4"/>
      <c r="G150" s="4"/>
      <c r="H150" s="4"/>
      <c r="I150" s="4"/>
      <c r="J150" s="4"/>
      <c r="K150" s="4">
        <f t="shared" si="9"/>
        <v>0</v>
      </c>
    </row>
    <row r="151" spans="1:11" ht="13.5" x14ac:dyDescent="0.25">
      <c r="A151" s="61" t="s">
        <v>135</v>
      </c>
      <c r="B151" s="4"/>
      <c r="C151" s="4"/>
      <c r="D151" s="4"/>
      <c r="E151" s="4">
        <v>552</v>
      </c>
      <c r="F151" s="4">
        <v>1066</v>
      </c>
      <c r="G151" s="4">
        <v>1046</v>
      </c>
      <c r="H151" s="4">
        <v>1046</v>
      </c>
      <c r="I151" s="4">
        <v>1048</v>
      </c>
      <c r="J151" s="4"/>
      <c r="K151" s="4">
        <f t="shared" si="9"/>
        <v>-20</v>
      </c>
    </row>
    <row r="152" spans="1:11" x14ac:dyDescent="0.2">
      <c r="A152" s="4" t="s">
        <v>936</v>
      </c>
      <c r="B152" s="4">
        <v>3</v>
      </c>
      <c r="C152" s="4">
        <v>20</v>
      </c>
      <c r="D152" s="4">
        <f>ROUND(B152*C152,0)</f>
        <v>60</v>
      </c>
      <c r="E152" s="4"/>
      <c r="F152" s="4"/>
      <c r="G152" s="4"/>
      <c r="H152" s="4"/>
      <c r="I152" s="4"/>
      <c r="J152" s="4"/>
      <c r="K152" s="4">
        <f t="shared" si="9"/>
        <v>0</v>
      </c>
    </row>
    <row r="153" spans="1:11" x14ac:dyDescent="0.2">
      <c r="A153" s="4" t="s">
        <v>1536</v>
      </c>
      <c r="B153" s="4">
        <v>9</v>
      </c>
      <c r="C153" s="4">
        <v>20</v>
      </c>
      <c r="D153" s="4">
        <f>ROUND(B153*C153,0)</f>
        <v>180</v>
      </c>
      <c r="E153" s="4"/>
      <c r="F153" s="4"/>
      <c r="G153" s="4"/>
      <c r="H153" s="4"/>
      <c r="I153" s="4"/>
      <c r="J153" s="4"/>
      <c r="K153" s="4">
        <f t="shared" si="9"/>
        <v>0</v>
      </c>
    </row>
    <row r="154" spans="1:11" x14ac:dyDescent="0.2">
      <c r="A154" s="4" t="s">
        <v>883</v>
      </c>
      <c r="B154" s="4">
        <v>37</v>
      </c>
      <c r="C154" s="4">
        <v>20</v>
      </c>
      <c r="D154" s="4">
        <f>ROUND(B154*C154,0)</f>
        <v>740</v>
      </c>
      <c r="E154" s="4"/>
      <c r="F154" s="4"/>
      <c r="G154" s="4"/>
      <c r="H154" s="4"/>
      <c r="I154" s="4"/>
      <c r="J154" s="4"/>
      <c r="K154" s="4">
        <f t="shared" si="9"/>
        <v>0</v>
      </c>
    </row>
    <row r="155" spans="1:11" x14ac:dyDescent="0.2">
      <c r="A155" s="4" t="s">
        <v>937</v>
      </c>
      <c r="B155" s="4">
        <v>1</v>
      </c>
      <c r="C155" s="4">
        <v>20</v>
      </c>
      <c r="D155" s="4">
        <f>ROUND(B155*C155,0)</f>
        <v>20</v>
      </c>
      <c r="E155" s="4"/>
      <c r="F155" s="4"/>
      <c r="G155" s="4"/>
      <c r="H155" s="4"/>
      <c r="I155" s="4"/>
      <c r="J155" s="4"/>
      <c r="K155" s="4">
        <f t="shared" si="9"/>
        <v>0</v>
      </c>
    </row>
    <row r="156" spans="1:11" ht="15" x14ac:dyDescent="0.35">
      <c r="A156" s="4" t="s">
        <v>196</v>
      </c>
      <c r="B156" s="4">
        <f>+D83</f>
        <v>35648</v>
      </c>
      <c r="C156" s="221">
        <v>1.4E-3</v>
      </c>
      <c r="D156" s="33">
        <f>ROUND(B156*C156,0)-2</f>
        <v>48</v>
      </c>
      <c r="E156" s="4"/>
      <c r="F156" s="4"/>
      <c r="G156" s="4"/>
      <c r="H156" s="4"/>
      <c r="I156" s="4"/>
      <c r="J156" s="4"/>
      <c r="K156" s="4">
        <f t="shared" si="9"/>
        <v>0</v>
      </c>
    </row>
    <row r="157" spans="1:11" x14ac:dyDescent="0.2">
      <c r="A157" s="4" t="s">
        <v>1320</v>
      </c>
      <c r="B157" s="4"/>
      <c r="C157" s="4"/>
      <c r="D157" s="4">
        <f>SUM(D152:D156)</f>
        <v>1048</v>
      </c>
      <c r="E157" s="4"/>
      <c r="F157" s="4"/>
      <c r="G157" s="4"/>
      <c r="H157" s="4"/>
      <c r="I157" s="4"/>
      <c r="J157" s="4"/>
      <c r="K157" s="4">
        <f t="shared" si="9"/>
        <v>0</v>
      </c>
    </row>
    <row r="158" spans="1:11" ht="13.5" x14ac:dyDescent="0.25">
      <c r="A158" s="201"/>
      <c r="B158" s="4"/>
      <c r="C158" s="4"/>
      <c r="D158" s="4"/>
      <c r="E158" s="4"/>
      <c r="F158" s="4"/>
      <c r="G158" s="4"/>
      <c r="H158" s="4"/>
      <c r="I158" s="4"/>
      <c r="J158" s="4"/>
      <c r="K158" s="4">
        <f t="shared" si="9"/>
        <v>0</v>
      </c>
    </row>
    <row r="159" spans="1:11" ht="13.5" x14ac:dyDescent="0.25">
      <c r="A159" s="61" t="s">
        <v>938</v>
      </c>
      <c r="B159" s="4"/>
      <c r="C159" s="4"/>
      <c r="D159" s="4"/>
      <c r="E159" s="4">
        <v>4210</v>
      </c>
      <c r="F159" s="4">
        <v>8599</v>
      </c>
      <c r="G159" s="4">
        <v>8599</v>
      </c>
      <c r="H159" s="4">
        <v>8599</v>
      </c>
      <c r="I159" s="4">
        <v>8599</v>
      </c>
      <c r="J159" s="4"/>
      <c r="K159" s="4">
        <f t="shared" si="9"/>
        <v>0</v>
      </c>
    </row>
    <row r="160" spans="1:11" x14ac:dyDescent="0.2">
      <c r="A160" s="4" t="s">
        <v>939</v>
      </c>
      <c r="B160" s="4"/>
      <c r="C160" s="4"/>
      <c r="D160" s="4">
        <v>4038</v>
      </c>
      <c r="E160" s="4"/>
      <c r="F160" s="4"/>
      <c r="G160" s="4"/>
      <c r="H160" s="4"/>
      <c r="I160" s="4"/>
      <c r="J160" s="4"/>
      <c r="K160" s="4">
        <f t="shared" si="9"/>
        <v>0</v>
      </c>
    </row>
    <row r="161" spans="1:11" x14ac:dyDescent="0.2">
      <c r="A161" s="4" t="s">
        <v>1554</v>
      </c>
      <c r="B161" s="4"/>
      <c r="C161" s="4"/>
      <c r="D161" s="4">
        <v>2161</v>
      </c>
      <c r="E161" s="4"/>
      <c r="F161" s="4"/>
      <c r="G161" s="4"/>
      <c r="H161" s="4"/>
      <c r="I161" s="4"/>
      <c r="J161" s="4"/>
      <c r="K161" s="4">
        <f t="shared" si="9"/>
        <v>0</v>
      </c>
    </row>
    <row r="162" spans="1:11" ht="15" x14ac:dyDescent="0.35">
      <c r="A162" s="4" t="s">
        <v>1555</v>
      </c>
      <c r="B162" s="4"/>
      <c r="C162" s="4"/>
      <c r="D162" s="33">
        <v>2400</v>
      </c>
      <c r="E162" s="4"/>
      <c r="F162" s="4"/>
      <c r="G162" s="4"/>
      <c r="H162" s="4"/>
      <c r="I162" s="4"/>
      <c r="J162" s="4"/>
      <c r="K162" s="4">
        <f t="shared" si="9"/>
        <v>0</v>
      </c>
    </row>
    <row r="163" spans="1:11" x14ac:dyDescent="0.2">
      <c r="A163" s="4" t="s">
        <v>1320</v>
      </c>
      <c r="B163" s="4"/>
      <c r="C163" s="4"/>
      <c r="D163" s="4">
        <f>SUM(D160:D162)</f>
        <v>8599</v>
      </c>
      <c r="F163" s="4"/>
      <c r="G163" s="4"/>
      <c r="H163" s="4"/>
      <c r="I163" s="4"/>
      <c r="J163" s="4"/>
      <c r="K163" s="4">
        <f t="shared" si="9"/>
        <v>0</v>
      </c>
    </row>
    <row r="164" spans="1:11" x14ac:dyDescent="0.2">
      <c r="A164" s="4"/>
      <c r="B164" s="4"/>
      <c r="C164" s="4"/>
      <c r="D164" s="4"/>
      <c r="E164" s="4"/>
      <c r="F164" s="4"/>
      <c r="G164" s="4"/>
      <c r="H164" s="4"/>
      <c r="I164" s="4"/>
      <c r="J164" s="4"/>
      <c r="K164" s="4">
        <f t="shared" si="9"/>
        <v>0</v>
      </c>
    </row>
    <row r="165" spans="1:11" ht="13.5" x14ac:dyDescent="0.25">
      <c r="A165" s="61" t="s">
        <v>1556</v>
      </c>
      <c r="B165" s="4"/>
      <c r="C165" s="4"/>
      <c r="D165" s="4"/>
      <c r="E165" s="4">
        <v>14328</v>
      </c>
      <c r="F165" s="4">
        <v>30200</v>
      </c>
      <c r="G165" s="4">
        <v>15200</v>
      </c>
      <c r="H165" s="4">
        <v>15200</v>
      </c>
      <c r="I165" s="4">
        <v>15200</v>
      </c>
      <c r="J165" s="4"/>
      <c r="K165" s="4">
        <f t="shared" si="9"/>
        <v>-15000</v>
      </c>
    </row>
    <row r="166" spans="1:11" x14ac:dyDescent="0.2">
      <c r="A166" s="4" t="s">
        <v>1557</v>
      </c>
      <c r="B166" s="4" t="s">
        <v>418</v>
      </c>
      <c r="C166" s="4"/>
      <c r="D166" s="4">
        <v>1600</v>
      </c>
      <c r="E166" s="4"/>
      <c r="F166" s="4"/>
      <c r="G166" s="4"/>
      <c r="H166" s="4"/>
      <c r="I166" s="4"/>
      <c r="J166" s="4"/>
      <c r="K166" s="4">
        <f t="shared" si="9"/>
        <v>0</v>
      </c>
    </row>
    <row r="167" spans="1:11" x14ac:dyDescent="0.2">
      <c r="A167" s="4" t="s">
        <v>978</v>
      </c>
      <c r="B167" s="4"/>
      <c r="C167" s="4"/>
      <c r="D167" s="4">
        <v>2100</v>
      </c>
      <c r="E167" s="4"/>
      <c r="F167" s="4"/>
      <c r="G167" s="4"/>
      <c r="H167" s="4"/>
      <c r="I167" s="4"/>
      <c r="J167" s="4"/>
      <c r="K167" s="4">
        <f t="shared" si="9"/>
        <v>0</v>
      </c>
    </row>
    <row r="168" spans="1:11" x14ac:dyDescent="0.2">
      <c r="A168" s="4" t="s">
        <v>979</v>
      </c>
      <c r="B168" s="4"/>
      <c r="C168" s="4"/>
      <c r="D168" s="4">
        <v>1500</v>
      </c>
      <c r="E168" s="4"/>
      <c r="F168" s="4"/>
      <c r="G168" s="4"/>
      <c r="H168" s="4"/>
      <c r="I168" s="4"/>
      <c r="J168" s="4"/>
      <c r="K168" s="4">
        <f t="shared" si="9"/>
        <v>0</v>
      </c>
    </row>
    <row r="169" spans="1:11" x14ac:dyDescent="0.2">
      <c r="A169" s="4" t="s">
        <v>2188</v>
      </c>
      <c r="B169" s="4"/>
      <c r="C169" s="4"/>
      <c r="D169" s="4">
        <v>0</v>
      </c>
      <c r="E169" s="4"/>
      <c r="F169" s="4"/>
      <c r="G169" s="4"/>
      <c r="H169" s="4"/>
      <c r="I169" s="4"/>
      <c r="J169" s="4"/>
      <c r="K169" s="4">
        <f t="shared" si="9"/>
        <v>0</v>
      </c>
    </row>
    <row r="170" spans="1:11" ht="15" x14ac:dyDescent="0.35">
      <c r="A170" s="4" t="s">
        <v>198</v>
      </c>
      <c r="B170" s="4"/>
      <c r="C170" s="4"/>
      <c r="D170" s="33">
        <v>10000</v>
      </c>
      <c r="E170" s="4"/>
      <c r="F170" s="4"/>
      <c r="G170" s="4"/>
      <c r="H170" s="4"/>
      <c r="I170" s="4"/>
      <c r="J170" s="4"/>
      <c r="K170" s="4">
        <f t="shared" si="9"/>
        <v>0</v>
      </c>
    </row>
    <row r="171" spans="1:11" x14ac:dyDescent="0.2">
      <c r="A171" s="4" t="s">
        <v>1320</v>
      </c>
      <c r="B171" s="4"/>
      <c r="C171" s="4"/>
      <c r="D171" s="4">
        <f>SUM(D166:D170)</f>
        <v>15200</v>
      </c>
      <c r="F171" s="4"/>
      <c r="G171" s="4"/>
      <c r="H171" s="4"/>
      <c r="I171" s="4"/>
      <c r="J171" s="4"/>
      <c r="K171" s="4">
        <f t="shared" si="9"/>
        <v>0</v>
      </c>
    </row>
    <row r="172" spans="1:11" x14ac:dyDescent="0.2">
      <c r="A172" s="4"/>
      <c r="B172" s="4"/>
      <c r="C172" s="4"/>
      <c r="D172" s="4"/>
      <c r="E172" s="4"/>
      <c r="F172" s="4"/>
      <c r="G172" s="4"/>
      <c r="H172" s="4"/>
      <c r="I172" s="4"/>
      <c r="J172" s="4"/>
      <c r="K172" s="4">
        <f t="shared" si="9"/>
        <v>0</v>
      </c>
    </row>
    <row r="173" spans="1:11" ht="13.5" x14ac:dyDescent="0.25">
      <c r="A173" s="61" t="s">
        <v>535</v>
      </c>
      <c r="B173" s="4"/>
      <c r="C173" s="4"/>
      <c r="D173" s="4"/>
      <c r="E173" s="4">
        <v>61265</v>
      </c>
      <c r="F173" s="4">
        <v>53050</v>
      </c>
      <c r="G173" s="4">
        <v>66250</v>
      </c>
      <c r="H173" s="4">
        <v>66250</v>
      </c>
      <c r="I173" s="4">
        <v>66250</v>
      </c>
      <c r="J173" s="4"/>
      <c r="K173" s="4">
        <f t="shared" si="9"/>
        <v>13200</v>
      </c>
    </row>
    <row r="174" spans="1:11" x14ac:dyDescent="0.2">
      <c r="A174" s="4" t="s">
        <v>536</v>
      </c>
      <c r="B174" s="4">
        <v>2</v>
      </c>
      <c r="C174" s="4">
        <v>900</v>
      </c>
      <c r="D174" s="4">
        <f>ROUND(B174*C174,0)</f>
        <v>1800</v>
      </c>
      <c r="E174" s="4"/>
      <c r="F174" s="4"/>
      <c r="G174" s="4"/>
      <c r="H174" s="4"/>
      <c r="I174" s="4"/>
      <c r="J174" s="4"/>
      <c r="K174" s="4">
        <f t="shared" si="9"/>
        <v>0</v>
      </c>
    </row>
    <row r="175" spans="1:11" x14ac:dyDescent="0.2">
      <c r="A175" s="4" t="s">
        <v>1465</v>
      </c>
      <c r="B175" s="4" t="s">
        <v>418</v>
      </c>
      <c r="C175" s="4" t="s">
        <v>418</v>
      </c>
      <c r="D175" s="4" t="s">
        <v>418</v>
      </c>
      <c r="E175" s="4"/>
      <c r="F175" s="4"/>
      <c r="G175" s="4"/>
      <c r="H175" s="4"/>
      <c r="I175" s="4"/>
      <c r="J175" s="4"/>
      <c r="K175" s="4">
        <f t="shared" si="9"/>
        <v>0</v>
      </c>
    </row>
    <row r="176" spans="1:11" x14ac:dyDescent="0.2">
      <c r="A176" s="4" t="s">
        <v>1302</v>
      </c>
      <c r="B176" s="4">
        <v>39</v>
      </c>
      <c r="C176" s="4">
        <v>900</v>
      </c>
      <c r="D176" s="4">
        <f t="shared" ref="D176:D184" si="10">ROUND(B176*C176,0)</f>
        <v>35100</v>
      </c>
      <c r="E176" s="4"/>
      <c r="F176" s="4"/>
      <c r="G176" s="4"/>
      <c r="H176" s="4"/>
      <c r="I176" s="4"/>
      <c r="J176" s="4"/>
      <c r="K176" s="4">
        <f t="shared" si="9"/>
        <v>0</v>
      </c>
    </row>
    <row r="177" spans="1:11" x14ac:dyDescent="0.2">
      <c r="A177" s="4" t="s">
        <v>1303</v>
      </c>
      <c r="B177" s="4">
        <v>13</v>
      </c>
      <c r="C177" s="4">
        <v>100</v>
      </c>
      <c r="D177" s="4">
        <f t="shared" si="10"/>
        <v>1300</v>
      </c>
      <c r="E177" s="4"/>
      <c r="F177" s="4"/>
      <c r="G177" s="4"/>
      <c r="H177" s="4"/>
      <c r="I177" s="4"/>
      <c r="J177" s="4"/>
      <c r="K177" s="4">
        <f t="shared" si="9"/>
        <v>0</v>
      </c>
    </row>
    <row r="178" spans="1:11" x14ac:dyDescent="0.2">
      <c r="A178" s="4" t="s">
        <v>1304</v>
      </c>
      <c r="B178" s="4">
        <v>7</v>
      </c>
      <c r="C178" s="4">
        <v>100</v>
      </c>
      <c r="D178" s="4">
        <f t="shared" si="10"/>
        <v>700</v>
      </c>
      <c r="E178" s="4"/>
      <c r="F178" s="4"/>
      <c r="G178" s="4"/>
      <c r="H178" s="4"/>
      <c r="I178" s="4"/>
      <c r="J178" s="4"/>
      <c r="K178" s="4">
        <f t="shared" si="9"/>
        <v>0</v>
      </c>
    </row>
    <row r="179" spans="1:11" x14ac:dyDescent="0.2">
      <c r="A179" s="4" t="s">
        <v>1305</v>
      </c>
      <c r="B179" s="4">
        <v>1</v>
      </c>
      <c r="C179" s="4">
        <v>100</v>
      </c>
      <c r="D179" s="4">
        <f t="shared" si="10"/>
        <v>100</v>
      </c>
      <c r="E179" s="4"/>
      <c r="F179" s="4"/>
      <c r="G179" s="4"/>
      <c r="H179" s="4"/>
      <c r="I179" s="4"/>
      <c r="J179" s="4"/>
      <c r="K179" s="4">
        <f t="shared" si="9"/>
        <v>0</v>
      </c>
    </row>
    <row r="180" spans="1:11" x14ac:dyDescent="0.2">
      <c r="A180" s="4" t="s">
        <v>537</v>
      </c>
      <c r="B180" s="4">
        <v>6</v>
      </c>
      <c r="C180" s="4">
        <v>900</v>
      </c>
      <c r="D180" s="4">
        <v>4500</v>
      </c>
      <c r="E180" s="4"/>
      <c r="F180" s="4"/>
      <c r="G180" s="4"/>
      <c r="H180" s="4"/>
      <c r="I180" s="4"/>
      <c r="J180" s="4"/>
      <c r="K180" s="4">
        <f t="shared" si="9"/>
        <v>0</v>
      </c>
    </row>
    <row r="181" spans="1:11" x14ac:dyDescent="0.2">
      <c r="A181" s="4" t="s">
        <v>1507</v>
      </c>
      <c r="B181" s="4">
        <v>28</v>
      </c>
      <c r="C181" s="4">
        <v>500</v>
      </c>
      <c r="D181" s="4">
        <f>ROUND(B181*C181,0)</f>
        <v>14000</v>
      </c>
      <c r="E181" s="4"/>
      <c r="F181" s="4"/>
      <c r="G181" s="4"/>
      <c r="H181" s="4"/>
      <c r="I181" s="4"/>
      <c r="J181" s="4"/>
      <c r="K181" s="4">
        <f t="shared" si="9"/>
        <v>0</v>
      </c>
    </row>
    <row r="182" spans="1:11" x14ac:dyDescent="0.2">
      <c r="A182" s="4" t="s">
        <v>1911</v>
      </c>
      <c r="B182" s="4">
        <v>1</v>
      </c>
      <c r="C182" s="4">
        <v>350</v>
      </c>
      <c r="D182" s="4">
        <f t="shared" si="10"/>
        <v>350</v>
      </c>
      <c r="E182" s="4"/>
      <c r="F182" s="4"/>
      <c r="G182" s="4"/>
      <c r="H182" s="4"/>
      <c r="I182" s="4"/>
      <c r="J182" s="4"/>
      <c r="K182" s="4">
        <f t="shared" si="9"/>
        <v>0</v>
      </c>
    </row>
    <row r="183" spans="1:11" x14ac:dyDescent="0.2">
      <c r="A183" s="4" t="s">
        <v>1471</v>
      </c>
      <c r="B183" s="4">
        <v>3</v>
      </c>
      <c r="C183" s="4">
        <v>200</v>
      </c>
      <c r="D183" s="4">
        <f t="shared" si="10"/>
        <v>600</v>
      </c>
      <c r="E183" s="4"/>
      <c r="F183" s="4"/>
      <c r="G183" s="4"/>
      <c r="H183" s="4"/>
      <c r="I183" s="4"/>
      <c r="J183" s="4"/>
      <c r="K183" s="4">
        <f t="shared" si="9"/>
        <v>0</v>
      </c>
    </row>
    <row r="184" spans="1:11" ht="15" x14ac:dyDescent="0.35">
      <c r="A184" s="4" t="s">
        <v>888</v>
      </c>
      <c r="B184" s="4">
        <v>39</v>
      </c>
      <c r="C184" s="4">
        <v>200</v>
      </c>
      <c r="D184" s="33">
        <f t="shared" si="10"/>
        <v>7800</v>
      </c>
      <c r="E184" s="4"/>
      <c r="F184" s="4"/>
      <c r="G184" s="4"/>
      <c r="H184" s="4"/>
      <c r="I184" s="4"/>
      <c r="J184" s="4"/>
      <c r="K184" s="4">
        <f t="shared" si="9"/>
        <v>0</v>
      </c>
    </row>
    <row r="185" spans="1:11" x14ac:dyDescent="0.2">
      <c r="A185" s="4" t="s">
        <v>1320</v>
      </c>
      <c r="B185" s="4"/>
      <c r="C185" s="4"/>
      <c r="D185" s="4">
        <f>SUM(D174:D184)</f>
        <v>66250</v>
      </c>
      <c r="F185" s="4"/>
      <c r="G185" s="4"/>
      <c r="H185" s="4"/>
      <c r="I185" s="4"/>
      <c r="J185" s="4"/>
      <c r="K185" s="4">
        <f t="shared" si="9"/>
        <v>0</v>
      </c>
    </row>
    <row r="186" spans="1:11" x14ac:dyDescent="0.2">
      <c r="C186" s="4"/>
      <c r="D186" s="4"/>
      <c r="E186" s="4"/>
      <c r="F186" s="4"/>
      <c r="G186" s="4"/>
      <c r="H186" s="4"/>
      <c r="I186" s="4"/>
      <c r="J186" s="4"/>
      <c r="K186" s="4">
        <f t="shared" si="9"/>
        <v>0</v>
      </c>
    </row>
    <row r="187" spans="1:11" ht="13.5" x14ac:dyDescent="0.25">
      <c r="A187" s="61" t="s">
        <v>889</v>
      </c>
      <c r="C187" s="4"/>
      <c r="D187" s="4"/>
      <c r="E187" s="4">
        <v>2218</v>
      </c>
      <c r="F187" s="4">
        <v>2019</v>
      </c>
      <c r="G187" s="4">
        <v>2019</v>
      </c>
      <c r="H187" s="4">
        <v>2019</v>
      </c>
      <c r="I187" s="4">
        <v>2019</v>
      </c>
      <c r="J187" s="4"/>
      <c r="K187" s="4">
        <f t="shared" si="9"/>
        <v>0</v>
      </c>
    </row>
    <row r="188" spans="1:11" x14ac:dyDescent="0.2">
      <c r="A188" s="60" t="s">
        <v>890</v>
      </c>
      <c r="C188" s="4"/>
      <c r="D188" s="4">
        <v>2019</v>
      </c>
      <c r="F188" s="4"/>
      <c r="G188" s="4"/>
      <c r="H188" s="4"/>
      <c r="I188" s="4"/>
      <c r="J188" s="4"/>
      <c r="K188" s="4">
        <f t="shared" si="9"/>
        <v>0</v>
      </c>
    </row>
    <row r="189" spans="1:11" x14ac:dyDescent="0.2">
      <c r="C189" s="4"/>
      <c r="D189" s="4"/>
      <c r="E189" s="4"/>
      <c r="F189" s="4"/>
      <c r="G189" s="4"/>
      <c r="H189" s="4"/>
      <c r="I189" s="4"/>
      <c r="J189" s="4"/>
      <c r="K189" s="4">
        <f t="shared" si="9"/>
        <v>0</v>
      </c>
    </row>
    <row r="190" spans="1:11" ht="13.5" x14ac:dyDescent="0.25">
      <c r="A190" s="61" t="s">
        <v>773</v>
      </c>
      <c r="C190" s="4"/>
      <c r="D190" s="4"/>
      <c r="E190" s="4">
        <v>960</v>
      </c>
      <c r="F190" s="4">
        <v>1100</v>
      </c>
      <c r="G190" s="4">
        <v>1100</v>
      </c>
      <c r="H190" s="4">
        <v>1100</v>
      </c>
      <c r="I190" s="4">
        <v>1100</v>
      </c>
      <c r="J190" s="4"/>
      <c r="K190" s="4">
        <f t="shared" si="9"/>
        <v>0</v>
      </c>
    </row>
    <row r="191" spans="1:11" x14ac:dyDescent="0.2">
      <c r="A191" s="60" t="s">
        <v>348</v>
      </c>
      <c r="B191" s="4" t="s">
        <v>418</v>
      </c>
      <c r="C191" s="4"/>
      <c r="D191" s="4">
        <v>1100</v>
      </c>
      <c r="F191" s="4"/>
      <c r="G191" s="4"/>
      <c r="H191" s="4"/>
      <c r="I191" s="4"/>
      <c r="J191" s="4"/>
      <c r="K191" s="4">
        <f t="shared" si="9"/>
        <v>0</v>
      </c>
    </row>
    <row r="192" spans="1:11" x14ac:dyDescent="0.2">
      <c r="C192" s="4"/>
      <c r="D192" s="4"/>
      <c r="E192" s="4"/>
      <c r="F192" s="4"/>
      <c r="G192" s="4"/>
      <c r="H192" s="4"/>
      <c r="I192" s="4"/>
      <c r="J192" s="4"/>
      <c r="K192" s="4">
        <f t="shared" si="9"/>
        <v>0</v>
      </c>
    </row>
    <row r="193" spans="1:11" ht="13.5" x14ac:dyDescent="0.25">
      <c r="A193" s="61" t="s">
        <v>1564</v>
      </c>
      <c r="C193" s="4"/>
      <c r="D193" s="4"/>
      <c r="E193" s="4">
        <v>17840</v>
      </c>
      <c r="F193" s="4">
        <v>23900</v>
      </c>
      <c r="G193" s="4">
        <v>22800</v>
      </c>
      <c r="H193" s="4">
        <v>22800</v>
      </c>
      <c r="I193" s="4">
        <v>22800</v>
      </c>
      <c r="J193" s="4"/>
      <c r="K193" s="4">
        <f t="shared" si="9"/>
        <v>-1100</v>
      </c>
    </row>
    <row r="194" spans="1:11" x14ac:dyDescent="0.2">
      <c r="A194" s="60" t="s">
        <v>1850</v>
      </c>
      <c r="C194" s="4"/>
      <c r="D194" s="4">
        <v>2800</v>
      </c>
      <c r="E194" s="4"/>
      <c r="F194" s="4"/>
      <c r="G194" s="4"/>
      <c r="H194" s="4"/>
      <c r="I194" s="4"/>
      <c r="J194" s="4"/>
      <c r="K194" s="4">
        <f t="shared" si="9"/>
        <v>0</v>
      </c>
    </row>
    <row r="195" spans="1:11" ht="15" x14ac:dyDescent="0.35">
      <c r="A195" s="60" t="s">
        <v>945</v>
      </c>
      <c r="C195" s="4"/>
      <c r="D195" s="33">
        <v>20000</v>
      </c>
      <c r="E195" s="4"/>
      <c r="F195" s="4"/>
      <c r="G195" s="4"/>
      <c r="H195" s="4"/>
      <c r="I195" s="4"/>
      <c r="J195" s="4"/>
      <c r="K195" s="4">
        <f t="shared" si="9"/>
        <v>0</v>
      </c>
    </row>
    <row r="196" spans="1:11" x14ac:dyDescent="0.2">
      <c r="A196" s="60" t="s">
        <v>1320</v>
      </c>
      <c r="C196" s="4"/>
      <c r="D196" s="4">
        <f>SUM(D194:D195)</f>
        <v>22800</v>
      </c>
      <c r="E196" s="4"/>
      <c r="F196" s="4"/>
      <c r="G196" s="4"/>
      <c r="H196" s="4"/>
      <c r="I196" s="4"/>
      <c r="J196" s="4"/>
      <c r="K196" s="4">
        <f t="shared" si="9"/>
        <v>0</v>
      </c>
    </row>
    <row r="197" spans="1:11" x14ac:dyDescent="0.2">
      <c r="C197" s="4"/>
      <c r="D197" s="4"/>
      <c r="E197" s="4"/>
      <c r="F197" s="4"/>
      <c r="G197" s="4"/>
      <c r="H197" s="4"/>
      <c r="I197" s="4"/>
      <c r="J197" s="4"/>
      <c r="K197" s="4">
        <f t="shared" si="9"/>
        <v>0</v>
      </c>
    </row>
    <row r="198" spans="1:11" ht="13.5" x14ac:dyDescent="0.25">
      <c r="A198" s="61" t="s">
        <v>404</v>
      </c>
      <c r="C198" s="4"/>
      <c r="D198" s="4"/>
      <c r="E198" s="4">
        <v>5202</v>
      </c>
      <c r="F198" s="4">
        <v>5400</v>
      </c>
      <c r="G198" s="4">
        <v>5750</v>
      </c>
      <c r="H198" s="4">
        <v>5750</v>
      </c>
      <c r="I198" s="4">
        <v>5750</v>
      </c>
      <c r="J198" s="4"/>
      <c r="K198" s="4">
        <f t="shared" si="9"/>
        <v>350</v>
      </c>
    </row>
    <row r="199" spans="1:11" x14ac:dyDescent="0.2">
      <c r="A199" s="60" t="s">
        <v>945</v>
      </c>
      <c r="C199" s="4"/>
      <c r="D199" s="4">
        <v>5750</v>
      </c>
      <c r="F199" s="4"/>
      <c r="G199" s="4"/>
      <c r="H199" s="4"/>
      <c r="I199" s="4"/>
      <c r="J199" s="4"/>
      <c r="K199" s="4">
        <f t="shared" si="9"/>
        <v>0</v>
      </c>
    </row>
    <row r="200" spans="1:11" x14ac:dyDescent="0.2">
      <c r="D200" s="4"/>
      <c r="E200" s="4"/>
      <c r="F200" s="4"/>
      <c r="G200" s="4"/>
      <c r="H200" s="4"/>
      <c r="I200" s="4"/>
      <c r="J200" s="4"/>
      <c r="K200" s="4">
        <f t="shared" si="9"/>
        <v>0</v>
      </c>
    </row>
    <row r="201" spans="1:11" ht="13.5" x14ac:dyDescent="0.25">
      <c r="A201" s="61" t="s">
        <v>1565</v>
      </c>
      <c r="D201" s="4"/>
      <c r="E201" s="4">
        <v>1756</v>
      </c>
      <c r="F201" s="4">
        <v>1400</v>
      </c>
      <c r="G201" s="4">
        <v>1850</v>
      </c>
      <c r="H201" s="4">
        <v>1850</v>
      </c>
      <c r="I201" s="4">
        <v>1850</v>
      </c>
      <c r="J201" s="4"/>
      <c r="K201" s="4">
        <f t="shared" si="9"/>
        <v>450</v>
      </c>
    </row>
    <row r="202" spans="1:11" x14ac:dyDescent="0.2">
      <c r="A202" s="60" t="s">
        <v>945</v>
      </c>
      <c r="C202" s="4"/>
      <c r="D202" s="4">
        <v>1850</v>
      </c>
      <c r="F202" s="4"/>
      <c r="G202" s="4"/>
      <c r="H202" s="4"/>
      <c r="I202" s="4"/>
      <c r="J202" s="4"/>
      <c r="K202" s="4">
        <f t="shared" si="9"/>
        <v>0</v>
      </c>
    </row>
    <row r="203" spans="1:11" x14ac:dyDescent="0.2">
      <c r="C203" s="4"/>
      <c r="D203" s="4"/>
      <c r="E203" s="4"/>
      <c r="F203" s="4"/>
      <c r="G203" s="4"/>
      <c r="H203" s="4"/>
      <c r="I203" s="4"/>
      <c r="J203" s="4"/>
      <c r="K203" s="4">
        <f t="shared" si="9"/>
        <v>0</v>
      </c>
    </row>
    <row r="204" spans="1:11" ht="13.5" x14ac:dyDescent="0.25">
      <c r="A204" s="61" t="s">
        <v>1566</v>
      </c>
      <c r="C204" s="4"/>
      <c r="D204" s="4"/>
      <c r="E204" s="4">
        <v>296</v>
      </c>
      <c r="F204" s="4">
        <v>304</v>
      </c>
      <c r="G204" s="4">
        <v>340</v>
      </c>
      <c r="H204" s="4">
        <v>340</v>
      </c>
      <c r="I204" s="4">
        <v>340</v>
      </c>
      <c r="J204" s="4"/>
      <c r="K204" s="4">
        <f t="shared" si="9"/>
        <v>36</v>
      </c>
    </row>
    <row r="205" spans="1:11" x14ac:dyDescent="0.2">
      <c r="A205" s="60" t="s">
        <v>945</v>
      </c>
      <c r="C205" s="4"/>
      <c r="D205" s="4">
        <v>340</v>
      </c>
      <c r="F205" s="4"/>
      <c r="G205" s="4"/>
      <c r="H205" s="4"/>
      <c r="I205" s="4"/>
      <c r="J205" s="4"/>
      <c r="K205" s="4">
        <f t="shared" si="9"/>
        <v>0</v>
      </c>
    </row>
    <row r="206" spans="1:11" x14ac:dyDescent="0.2">
      <c r="C206" s="4"/>
      <c r="D206" s="4"/>
      <c r="E206" s="4"/>
      <c r="F206" s="4"/>
      <c r="G206" s="4"/>
      <c r="H206" s="4"/>
      <c r="I206" s="4"/>
      <c r="J206" s="4"/>
      <c r="K206" s="4">
        <f t="shared" si="9"/>
        <v>0</v>
      </c>
    </row>
    <row r="207" spans="1:11" x14ac:dyDescent="0.2">
      <c r="C207" s="4"/>
      <c r="D207" s="4"/>
      <c r="E207" s="4"/>
      <c r="F207" s="4"/>
      <c r="G207" s="4"/>
      <c r="H207" s="4"/>
      <c r="I207" s="4"/>
      <c r="J207" s="4"/>
      <c r="K207" s="4">
        <f t="shared" si="9"/>
        <v>0</v>
      </c>
    </row>
    <row r="208" spans="1:11" ht="13.5" x14ac:dyDescent="0.25">
      <c r="A208" s="61" t="s">
        <v>1065</v>
      </c>
      <c r="C208" s="4"/>
      <c r="D208" s="4"/>
      <c r="E208" s="4">
        <v>76472</v>
      </c>
      <c r="F208" s="4">
        <v>84075</v>
      </c>
      <c r="G208" s="4">
        <v>101500</v>
      </c>
      <c r="H208" s="4">
        <v>101500</v>
      </c>
      <c r="I208" s="4">
        <v>101500</v>
      </c>
      <c r="J208" s="4"/>
      <c r="K208" s="4">
        <f t="shared" ref="K208:K271" si="11">+H208-F208</f>
        <v>17425</v>
      </c>
    </row>
    <row r="209" spans="1:11" x14ac:dyDescent="0.2">
      <c r="A209" s="60" t="s">
        <v>1355</v>
      </c>
      <c r="B209" s="4">
        <v>29000</v>
      </c>
      <c r="C209" s="15">
        <v>3.5</v>
      </c>
      <c r="D209" s="4">
        <f>ROUND(B209*C209,0)</f>
        <v>101500</v>
      </c>
      <c r="F209" s="4"/>
      <c r="G209" s="4"/>
      <c r="H209" s="4"/>
      <c r="I209" s="4"/>
      <c r="J209" s="4"/>
      <c r="K209" s="4">
        <f t="shared" si="11"/>
        <v>0</v>
      </c>
    </row>
    <row r="210" spans="1:11" x14ac:dyDescent="0.2">
      <c r="B210" s="4"/>
      <c r="C210" s="4"/>
      <c r="D210" s="4"/>
      <c r="E210" s="4"/>
      <c r="F210" s="4"/>
      <c r="G210" s="4"/>
      <c r="H210" s="4"/>
      <c r="I210" s="4"/>
      <c r="J210" s="4"/>
      <c r="K210" s="4">
        <f t="shared" si="11"/>
        <v>0</v>
      </c>
    </row>
    <row r="211" spans="1:11" ht="13.5" x14ac:dyDescent="0.25">
      <c r="A211" s="61" t="s">
        <v>1066</v>
      </c>
      <c r="C211" s="74" t="s">
        <v>418</v>
      </c>
      <c r="D211" s="74" t="s">
        <v>418</v>
      </c>
      <c r="E211" s="4">
        <v>10049</v>
      </c>
      <c r="F211" s="4">
        <v>10100</v>
      </c>
      <c r="G211" s="4">
        <v>15700</v>
      </c>
      <c r="H211" s="4">
        <v>15700</v>
      </c>
      <c r="I211" s="4">
        <v>15700</v>
      </c>
      <c r="J211" s="4"/>
      <c r="K211" s="4">
        <f t="shared" si="11"/>
        <v>5600</v>
      </c>
    </row>
    <row r="212" spans="1:11" x14ac:dyDescent="0.2">
      <c r="A212" s="60" t="s">
        <v>374</v>
      </c>
      <c r="B212" s="4" t="s">
        <v>418</v>
      </c>
      <c r="C212" s="4"/>
      <c r="D212" s="4">
        <v>1200</v>
      </c>
      <c r="E212" s="4"/>
      <c r="F212" s="4"/>
      <c r="G212" s="4"/>
      <c r="H212" s="4"/>
      <c r="I212" s="4"/>
      <c r="J212" s="4"/>
      <c r="K212" s="4">
        <f t="shared" si="11"/>
        <v>0</v>
      </c>
    </row>
    <row r="213" spans="1:11" x14ac:dyDescent="0.2">
      <c r="A213" s="60" t="s">
        <v>517</v>
      </c>
      <c r="C213" s="4"/>
      <c r="D213" s="4">
        <v>250</v>
      </c>
      <c r="E213" s="4"/>
      <c r="F213" s="4"/>
      <c r="G213" s="4"/>
      <c r="H213" s="4"/>
      <c r="I213" s="4"/>
      <c r="J213" s="4"/>
      <c r="K213" s="4">
        <f t="shared" si="11"/>
        <v>0</v>
      </c>
    </row>
    <row r="214" spans="1:11" x14ac:dyDescent="0.2">
      <c r="A214" s="60" t="s">
        <v>875</v>
      </c>
      <c r="C214" s="4"/>
      <c r="D214" s="4">
        <v>100</v>
      </c>
      <c r="E214" s="4"/>
      <c r="F214" s="4"/>
      <c r="G214" s="4"/>
      <c r="H214" s="4"/>
      <c r="I214" s="4"/>
      <c r="J214" s="4"/>
      <c r="K214" s="4">
        <f t="shared" si="11"/>
        <v>0</v>
      </c>
    </row>
    <row r="215" spans="1:11" x14ac:dyDescent="0.2">
      <c r="A215" s="60" t="s">
        <v>37</v>
      </c>
      <c r="C215" s="4"/>
      <c r="D215" s="4">
        <v>3300</v>
      </c>
      <c r="E215" s="4"/>
      <c r="F215" s="4"/>
      <c r="G215" s="4"/>
      <c r="H215" s="4"/>
      <c r="I215" s="4"/>
      <c r="J215" s="4"/>
      <c r="K215" s="4">
        <f t="shared" si="11"/>
        <v>0</v>
      </c>
    </row>
    <row r="216" spans="1:11" x14ac:dyDescent="0.2">
      <c r="A216" s="60" t="s">
        <v>1638</v>
      </c>
      <c r="C216" s="4"/>
      <c r="D216" s="4">
        <v>450</v>
      </c>
      <c r="E216" s="4"/>
      <c r="F216" s="4"/>
      <c r="G216" s="4"/>
      <c r="H216" s="4"/>
      <c r="I216" s="4"/>
      <c r="J216" s="4"/>
      <c r="K216" s="4">
        <f t="shared" si="11"/>
        <v>0</v>
      </c>
    </row>
    <row r="217" spans="1:11" ht="15" x14ac:dyDescent="0.35">
      <c r="A217" s="60" t="s">
        <v>1581</v>
      </c>
      <c r="C217" s="33"/>
      <c r="D217" s="4">
        <v>100</v>
      </c>
      <c r="E217" s="4"/>
      <c r="F217" s="4"/>
      <c r="G217" s="4"/>
      <c r="H217" s="4"/>
      <c r="I217" s="4"/>
      <c r="J217" s="4"/>
      <c r="K217" s="4">
        <f t="shared" si="11"/>
        <v>0</v>
      </c>
    </row>
    <row r="218" spans="1:11" ht="15" x14ac:dyDescent="0.35">
      <c r="A218" s="60" t="s">
        <v>2189</v>
      </c>
      <c r="C218" s="33"/>
      <c r="D218" s="4">
        <v>2300</v>
      </c>
      <c r="E218" s="4"/>
      <c r="F218" s="4"/>
      <c r="G218" s="4"/>
      <c r="H218" s="4"/>
      <c r="I218" s="4"/>
      <c r="J218" s="4"/>
      <c r="K218" s="4">
        <f t="shared" si="11"/>
        <v>0</v>
      </c>
    </row>
    <row r="219" spans="1:11" ht="15" x14ac:dyDescent="0.35">
      <c r="A219" s="60" t="s">
        <v>2531</v>
      </c>
      <c r="C219" s="33"/>
      <c r="D219" s="4">
        <v>600</v>
      </c>
      <c r="E219" s="4"/>
      <c r="F219" s="4"/>
      <c r="G219" s="4"/>
      <c r="H219" s="4"/>
      <c r="I219" s="4"/>
      <c r="J219" s="4"/>
      <c r="K219" s="4">
        <f t="shared" si="11"/>
        <v>0</v>
      </c>
    </row>
    <row r="220" spans="1:11" ht="15" x14ac:dyDescent="0.35">
      <c r="A220" s="60" t="s">
        <v>2190</v>
      </c>
      <c r="C220" s="33"/>
      <c r="D220" s="4">
        <v>300</v>
      </c>
      <c r="E220" s="4"/>
      <c r="F220" s="4"/>
      <c r="G220" s="4"/>
      <c r="H220" s="4"/>
      <c r="I220" s="4"/>
      <c r="J220" s="4"/>
      <c r="K220" s="4">
        <f t="shared" si="11"/>
        <v>0</v>
      </c>
    </row>
    <row r="221" spans="1:11" ht="15" x14ac:dyDescent="0.35">
      <c r="A221" s="60" t="s">
        <v>2532</v>
      </c>
      <c r="C221" s="33"/>
      <c r="D221" s="4">
        <v>5000</v>
      </c>
      <c r="E221" s="4"/>
      <c r="F221" s="4"/>
      <c r="G221" s="4"/>
      <c r="H221" s="4"/>
      <c r="I221" s="4"/>
      <c r="J221" s="4"/>
      <c r="K221" s="4">
        <f t="shared" si="11"/>
        <v>0</v>
      </c>
    </row>
    <row r="222" spans="1:11" ht="15" x14ac:dyDescent="0.35">
      <c r="A222" s="60" t="s">
        <v>2045</v>
      </c>
      <c r="C222" s="33"/>
      <c r="D222" s="4">
        <v>1500</v>
      </c>
      <c r="E222" s="4"/>
      <c r="F222" s="4"/>
      <c r="G222" s="4"/>
      <c r="H222" s="4"/>
      <c r="I222" s="4"/>
      <c r="J222" s="4"/>
      <c r="K222" s="4">
        <f t="shared" si="11"/>
        <v>0</v>
      </c>
    </row>
    <row r="223" spans="1:11" ht="27.75" x14ac:dyDescent="0.35">
      <c r="A223" s="227" t="s">
        <v>1991</v>
      </c>
      <c r="C223" s="33"/>
      <c r="D223" s="33">
        <v>600</v>
      </c>
      <c r="E223" s="4"/>
      <c r="F223" s="4"/>
      <c r="G223" s="4"/>
      <c r="H223" s="4"/>
      <c r="I223" s="4"/>
      <c r="J223" s="4"/>
      <c r="K223" s="4">
        <f t="shared" si="11"/>
        <v>0</v>
      </c>
    </row>
    <row r="224" spans="1:11" x14ac:dyDescent="0.2">
      <c r="A224" s="60" t="s">
        <v>1320</v>
      </c>
      <c r="C224" s="4"/>
      <c r="D224" s="4">
        <f>SUM(D212:D223)</f>
        <v>15700</v>
      </c>
      <c r="F224" s="4"/>
      <c r="G224" s="4"/>
      <c r="H224" s="4"/>
      <c r="I224" s="4"/>
      <c r="J224" s="4"/>
      <c r="K224" s="4">
        <f t="shared" si="11"/>
        <v>0</v>
      </c>
    </row>
    <row r="225" spans="1:11" x14ac:dyDescent="0.2">
      <c r="C225" s="4"/>
      <c r="D225" s="4"/>
      <c r="F225" s="4"/>
      <c r="G225" s="4"/>
      <c r="H225" s="4"/>
      <c r="I225" s="4"/>
      <c r="J225" s="4"/>
      <c r="K225" s="4">
        <f t="shared" si="11"/>
        <v>0</v>
      </c>
    </row>
    <row r="226" spans="1:11" x14ac:dyDescent="0.2">
      <c r="C226" s="4"/>
      <c r="D226" s="4"/>
      <c r="F226" s="4"/>
      <c r="G226" s="4"/>
      <c r="H226" s="4"/>
      <c r="I226" s="4"/>
      <c r="J226" s="4"/>
      <c r="K226" s="4">
        <f t="shared" si="11"/>
        <v>0</v>
      </c>
    </row>
    <row r="227" spans="1:11" ht="13.5" x14ac:dyDescent="0.25">
      <c r="A227" s="200" t="s">
        <v>917</v>
      </c>
      <c r="C227" s="74"/>
      <c r="D227" s="74" t="s">
        <v>418</v>
      </c>
      <c r="E227" s="4">
        <v>55410</v>
      </c>
      <c r="F227" s="4">
        <v>65372</v>
      </c>
      <c r="G227" s="4">
        <v>66731</v>
      </c>
      <c r="H227" s="4">
        <v>66731</v>
      </c>
      <c r="I227" s="4">
        <v>66731</v>
      </c>
      <c r="J227" s="4"/>
      <c r="K227" s="4">
        <f t="shared" si="11"/>
        <v>1359</v>
      </c>
    </row>
    <row r="228" spans="1:11" x14ac:dyDescent="0.2">
      <c r="A228" s="60" t="s">
        <v>1136</v>
      </c>
      <c r="C228" s="4"/>
      <c r="D228" s="4">
        <v>66731</v>
      </c>
      <c r="F228" s="4"/>
      <c r="G228" s="4"/>
      <c r="H228" s="4"/>
      <c r="I228" s="4"/>
      <c r="J228" s="4"/>
      <c r="K228" s="4">
        <f t="shared" si="11"/>
        <v>0</v>
      </c>
    </row>
    <row r="229" spans="1:11" x14ac:dyDescent="0.2">
      <c r="C229" s="4"/>
      <c r="D229" s="4"/>
      <c r="E229" s="4"/>
      <c r="F229" s="4"/>
      <c r="G229" s="4"/>
      <c r="H229" s="4"/>
      <c r="I229" s="4"/>
      <c r="J229" s="4"/>
      <c r="K229" s="4">
        <f t="shared" si="11"/>
        <v>0</v>
      </c>
    </row>
    <row r="230" spans="1:11" ht="13.5" x14ac:dyDescent="0.25">
      <c r="A230" s="61" t="s">
        <v>918</v>
      </c>
      <c r="C230" s="74"/>
      <c r="D230" s="74" t="s">
        <v>418</v>
      </c>
      <c r="E230" s="4">
        <v>8005</v>
      </c>
      <c r="F230" s="4">
        <v>12350</v>
      </c>
      <c r="G230" s="4">
        <v>12350</v>
      </c>
      <c r="H230" s="4">
        <v>12350</v>
      </c>
      <c r="I230" s="4">
        <v>12350</v>
      </c>
      <c r="J230" s="4"/>
      <c r="K230" s="4">
        <f t="shared" si="11"/>
        <v>0</v>
      </c>
    </row>
    <row r="231" spans="1:11" x14ac:dyDescent="0.2">
      <c r="A231" s="60" t="s">
        <v>919</v>
      </c>
      <c r="C231" s="4"/>
      <c r="D231" s="4">
        <v>12000</v>
      </c>
      <c r="E231" s="4"/>
      <c r="F231" s="4"/>
      <c r="G231" s="4"/>
      <c r="H231" s="4"/>
      <c r="I231" s="4"/>
      <c r="J231" s="4"/>
      <c r="K231" s="4">
        <f t="shared" si="11"/>
        <v>0</v>
      </c>
    </row>
    <row r="232" spans="1:11" ht="15" x14ac:dyDescent="0.35">
      <c r="A232" s="60" t="s">
        <v>580</v>
      </c>
      <c r="C232" s="33"/>
      <c r="D232" s="33">
        <v>350</v>
      </c>
      <c r="E232" s="4"/>
      <c r="F232" s="4"/>
      <c r="G232" s="4"/>
      <c r="H232" s="4"/>
      <c r="I232" s="4"/>
      <c r="J232" s="4"/>
      <c r="K232" s="4">
        <f t="shared" si="11"/>
        <v>0</v>
      </c>
    </row>
    <row r="233" spans="1:11" x14ac:dyDescent="0.2">
      <c r="A233" s="60" t="s">
        <v>1320</v>
      </c>
      <c r="C233" s="4"/>
      <c r="D233" s="4">
        <f>SUM(D231:D232)</f>
        <v>12350</v>
      </c>
      <c r="F233" s="4"/>
      <c r="G233" s="4"/>
      <c r="H233" s="4"/>
      <c r="I233" s="4"/>
      <c r="J233" s="4"/>
      <c r="K233" s="4">
        <f t="shared" si="11"/>
        <v>0</v>
      </c>
    </row>
    <row r="234" spans="1:11" x14ac:dyDescent="0.2">
      <c r="C234" s="4"/>
      <c r="D234" s="4"/>
      <c r="E234" s="4"/>
      <c r="F234" s="4"/>
      <c r="G234" s="4"/>
      <c r="H234" s="4"/>
      <c r="I234" s="4"/>
      <c r="J234" s="4"/>
      <c r="K234" s="4">
        <f t="shared" si="11"/>
        <v>0</v>
      </c>
    </row>
    <row r="235" spans="1:11" ht="13.5" x14ac:dyDescent="0.25">
      <c r="A235" s="61" t="s">
        <v>690</v>
      </c>
      <c r="C235" s="4"/>
      <c r="D235" s="4"/>
      <c r="E235" s="4">
        <v>12853</v>
      </c>
      <c r="F235" s="4">
        <v>15000</v>
      </c>
      <c r="G235" s="4">
        <v>15000</v>
      </c>
      <c r="H235" s="4">
        <v>15000</v>
      </c>
      <c r="I235" s="4">
        <v>15000</v>
      </c>
      <c r="J235" s="4"/>
      <c r="K235" s="4">
        <f t="shared" si="11"/>
        <v>0</v>
      </c>
    </row>
    <row r="236" spans="1:11" x14ac:dyDescent="0.2">
      <c r="A236" s="47" t="s">
        <v>1639</v>
      </c>
      <c r="C236" s="4"/>
      <c r="D236" s="4">
        <v>15000</v>
      </c>
      <c r="E236" s="4"/>
      <c r="F236" s="4"/>
      <c r="G236" s="4"/>
      <c r="H236" s="4"/>
      <c r="I236" s="4"/>
      <c r="J236" s="4"/>
      <c r="K236" s="4">
        <f t="shared" si="11"/>
        <v>0</v>
      </c>
    </row>
    <row r="237" spans="1:11" x14ac:dyDescent="0.2">
      <c r="C237" s="4"/>
      <c r="D237" s="4"/>
      <c r="E237" s="4"/>
      <c r="F237" s="4"/>
      <c r="G237" s="4"/>
      <c r="H237" s="4"/>
      <c r="I237" s="4"/>
      <c r="J237" s="4"/>
      <c r="K237" s="4">
        <f t="shared" si="11"/>
        <v>0</v>
      </c>
    </row>
    <row r="238" spans="1:11" ht="13.5" x14ac:dyDescent="0.25">
      <c r="A238" s="61" t="s">
        <v>581</v>
      </c>
      <c r="C238" s="4"/>
      <c r="D238" s="4"/>
      <c r="E238" s="4">
        <v>32964</v>
      </c>
      <c r="F238" s="4">
        <v>55000</v>
      </c>
      <c r="G238" s="4">
        <v>45000</v>
      </c>
      <c r="H238" s="4">
        <v>45000</v>
      </c>
      <c r="I238" s="4">
        <v>45000</v>
      </c>
      <c r="J238" s="4"/>
      <c r="K238" s="4">
        <f t="shared" si="11"/>
        <v>-10000</v>
      </c>
    </row>
    <row r="239" spans="1:11" x14ac:dyDescent="0.2">
      <c r="A239" s="60" t="s">
        <v>582</v>
      </c>
      <c r="C239" s="4"/>
      <c r="D239" s="4">
        <v>45000</v>
      </c>
      <c r="E239" s="4"/>
      <c r="F239" s="4"/>
      <c r="G239" s="4"/>
      <c r="H239" s="4"/>
      <c r="I239" s="4"/>
      <c r="J239" s="4"/>
      <c r="K239" s="4">
        <f t="shared" si="11"/>
        <v>0</v>
      </c>
    </row>
    <row r="240" spans="1:11" ht="15" x14ac:dyDescent="0.35">
      <c r="C240" s="4"/>
      <c r="D240" s="33">
        <v>0</v>
      </c>
      <c r="E240" s="4"/>
      <c r="F240" s="4"/>
      <c r="G240" s="4"/>
      <c r="H240" s="4"/>
      <c r="I240" s="4"/>
      <c r="J240" s="4"/>
      <c r="K240" s="4">
        <f t="shared" si="11"/>
        <v>0</v>
      </c>
    </row>
    <row r="241" spans="1:11" x14ac:dyDescent="0.2">
      <c r="C241" s="4"/>
      <c r="D241" s="4">
        <f>SUM(D239:D240)</f>
        <v>45000</v>
      </c>
      <c r="E241" s="4"/>
      <c r="F241" s="4"/>
      <c r="G241" s="4"/>
      <c r="H241" s="4"/>
      <c r="I241" s="4"/>
      <c r="J241" s="4"/>
      <c r="K241" s="4">
        <f t="shared" si="11"/>
        <v>0</v>
      </c>
    </row>
    <row r="242" spans="1:11" x14ac:dyDescent="0.2">
      <c r="C242" s="4"/>
      <c r="D242" s="4"/>
      <c r="E242" s="4"/>
      <c r="F242" s="4"/>
      <c r="G242" s="4"/>
      <c r="H242" s="4"/>
      <c r="I242" s="4"/>
      <c r="J242" s="4"/>
      <c r="K242" s="4">
        <f t="shared" si="11"/>
        <v>0</v>
      </c>
    </row>
    <row r="243" spans="1:11" x14ac:dyDescent="0.2">
      <c r="C243" s="4"/>
      <c r="D243" s="4"/>
      <c r="E243" s="4"/>
      <c r="F243" s="4"/>
      <c r="G243" s="4"/>
      <c r="H243" s="4"/>
      <c r="I243" s="4"/>
      <c r="J243" s="4"/>
      <c r="K243" s="4">
        <f t="shared" si="11"/>
        <v>0</v>
      </c>
    </row>
    <row r="244" spans="1:11" ht="13.5" x14ac:dyDescent="0.25">
      <c r="A244" s="61" t="s">
        <v>884</v>
      </c>
      <c r="C244" s="4"/>
      <c r="D244" s="4"/>
      <c r="E244" s="4">
        <v>24727</v>
      </c>
      <c r="F244" s="4">
        <v>12276</v>
      </c>
      <c r="G244" s="4">
        <v>12492</v>
      </c>
      <c r="H244" s="4">
        <v>12492</v>
      </c>
      <c r="I244" s="4">
        <v>12492</v>
      </c>
      <c r="J244" s="4"/>
      <c r="K244" s="4">
        <f t="shared" si="11"/>
        <v>216</v>
      </c>
    </row>
    <row r="245" spans="1:11" x14ac:dyDescent="0.2">
      <c r="A245" s="60" t="s">
        <v>885</v>
      </c>
      <c r="C245" s="4"/>
      <c r="D245" s="4">
        <v>2715</v>
      </c>
      <c r="E245" s="4"/>
      <c r="F245" s="4"/>
      <c r="G245" s="4"/>
      <c r="H245" s="4"/>
      <c r="I245" s="4"/>
      <c r="J245" s="4"/>
      <c r="K245" s="4">
        <f t="shared" si="11"/>
        <v>0</v>
      </c>
    </row>
    <row r="246" spans="1:11" x14ac:dyDescent="0.2">
      <c r="A246" s="60" t="s">
        <v>1995</v>
      </c>
      <c r="C246" s="4"/>
      <c r="D246" s="4">
        <v>5000</v>
      </c>
      <c r="E246" s="4"/>
      <c r="F246" s="4"/>
      <c r="G246" s="4"/>
      <c r="H246" s="4"/>
      <c r="I246" s="4"/>
      <c r="J246" s="4"/>
      <c r="K246" s="4">
        <f t="shared" si="11"/>
        <v>0</v>
      </c>
    </row>
    <row r="247" spans="1:11" ht="15" x14ac:dyDescent="0.35">
      <c r="A247" s="60" t="s">
        <v>2191</v>
      </c>
      <c r="C247" s="33"/>
      <c r="D247" s="4">
        <v>4261</v>
      </c>
      <c r="E247" s="4"/>
      <c r="F247" s="4"/>
      <c r="G247" s="4"/>
      <c r="H247" s="4"/>
      <c r="I247" s="4"/>
      <c r="J247" s="4"/>
      <c r="K247" s="4">
        <f t="shared" si="11"/>
        <v>0</v>
      </c>
    </row>
    <row r="248" spans="1:11" ht="15" x14ac:dyDescent="0.35">
      <c r="A248" s="60" t="s">
        <v>933</v>
      </c>
      <c r="C248" s="33"/>
      <c r="D248" s="33">
        <v>516</v>
      </c>
      <c r="E248" s="4"/>
      <c r="F248" s="4"/>
      <c r="G248" s="4"/>
      <c r="H248" s="4"/>
      <c r="I248" s="4"/>
      <c r="J248" s="4"/>
      <c r="K248" s="4">
        <f t="shared" si="11"/>
        <v>0</v>
      </c>
    </row>
    <row r="249" spans="1:11" x14ac:dyDescent="0.2">
      <c r="A249" s="60" t="s">
        <v>1320</v>
      </c>
      <c r="C249" s="4"/>
      <c r="D249" s="4">
        <f>SUM(D245:D248)</f>
        <v>12492</v>
      </c>
      <c r="E249" s="4"/>
      <c r="F249" s="4"/>
      <c r="G249" s="4"/>
      <c r="H249" s="4"/>
      <c r="I249" s="4"/>
      <c r="J249" s="4"/>
      <c r="K249" s="4">
        <f t="shared" si="11"/>
        <v>0</v>
      </c>
    </row>
    <row r="250" spans="1:11" x14ac:dyDescent="0.2">
      <c r="C250" s="4"/>
      <c r="D250" s="4"/>
      <c r="E250" s="4"/>
      <c r="F250" s="4"/>
      <c r="G250" s="4"/>
      <c r="H250" s="4"/>
      <c r="I250" s="4"/>
      <c r="J250" s="4"/>
      <c r="K250" s="4">
        <f t="shared" si="11"/>
        <v>0</v>
      </c>
    </row>
    <row r="251" spans="1:11" ht="13.5" x14ac:dyDescent="0.25">
      <c r="A251" s="61" t="s">
        <v>872</v>
      </c>
      <c r="B251" s="62"/>
      <c r="C251" s="4"/>
      <c r="D251" s="4"/>
      <c r="E251" s="4">
        <v>16617</v>
      </c>
      <c r="F251" s="4">
        <v>2951</v>
      </c>
      <c r="G251" s="4">
        <v>2951</v>
      </c>
      <c r="H251" s="4">
        <v>2951</v>
      </c>
      <c r="I251" s="4">
        <v>2951</v>
      </c>
      <c r="J251" s="4"/>
      <c r="K251" s="4">
        <f t="shared" si="11"/>
        <v>0</v>
      </c>
    </row>
    <row r="252" spans="1:11" x14ac:dyDescent="0.2">
      <c r="A252" s="60" t="s">
        <v>873</v>
      </c>
      <c r="C252" s="4"/>
      <c r="D252" s="4">
        <v>2951</v>
      </c>
      <c r="E252" s="4"/>
      <c r="F252" s="4"/>
      <c r="G252" s="4"/>
      <c r="H252" s="4"/>
      <c r="I252" s="4"/>
      <c r="J252" s="4"/>
      <c r="K252" s="4">
        <f t="shared" si="11"/>
        <v>0</v>
      </c>
    </row>
    <row r="253" spans="1:11" x14ac:dyDescent="0.2">
      <c r="A253" s="60" t="s">
        <v>418</v>
      </c>
      <c r="C253" s="4"/>
      <c r="D253" s="4"/>
      <c r="E253" s="4"/>
      <c r="F253" s="4"/>
      <c r="G253" s="4"/>
      <c r="H253" s="4"/>
      <c r="I253" s="4"/>
      <c r="J253" s="4"/>
      <c r="K253" s="4">
        <f t="shared" si="11"/>
        <v>0</v>
      </c>
    </row>
    <row r="254" spans="1:11" ht="13.5" x14ac:dyDescent="0.25">
      <c r="A254" s="61" t="s">
        <v>1123</v>
      </c>
      <c r="C254" s="74" t="s">
        <v>418</v>
      </c>
      <c r="D254" s="74" t="s">
        <v>418</v>
      </c>
      <c r="E254" s="4">
        <v>43853</v>
      </c>
      <c r="F254" s="4">
        <v>54000</v>
      </c>
      <c r="G254" s="4">
        <v>59000</v>
      </c>
      <c r="H254" s="4">
        <v>59000</v>
      </c>
      <c r="I254" s="4">
        <v>59000</v>
      </c>
      <c r="J254" s="4"/>
      <c r="K254" s="4">
        <f t="shared" si="11"/>
        <v>5000</v>
      </c>
    </row>
    <row r="255" spans="1:11" x14ac:dyDescent="0.2">
      <c r="A255" s="60" t="s">
        <v>1851</v>
      </c>
      <c r="C255" s="4"/>
      <c r="D255" s="4">
        <v>35000</v>
      </c>
      <c r="E255" s="4"/>
      <c r="F255" s="4"/>
      <c r="G255" s="4"/>
      <c r="H255" s="4"/>
      <c r="I255" s="4"/>
      <c r="J255" s="4"/>
      <c r="K255" s="4">
        <f t="shared" si="11"/>
        <v>0</v>
      </c>
    </row>
    <row r="256" spans="1:11" x14ac:dyDescent="0.2">
      <c r="A256" s="60" t="s">
        <v>1336</v>
      </c>
      <c r="C256" s="4"/>
      <c r="D256" s="4">
        <v>5000</v>
      </c>
      <c r="E256" s="4"/>
      <c r="F256" s="4"/>
      <c r="G256" s="4"/>
      <c r="H256" s="4"/>
      <c r="I256" s="4"/>
      <c r="J256" s="4"/>
      <c r="K256" s="4">
        <f t="shared" si="11"/>
        <v>0</v>
      </c>
    </row>
    <row r="257" spans="1:11" x14ac:dyDescent="0.2">
      <c r="A257" s="60" t="s">
        <v>1009</v>
      </c>
      <c r="C257" s="4"/>
      <c r="D257" s="4">
        <v>15000</v>
      </c>
      <c r="E257" s="4"/>
      <c r="F257" s="4"/>
      <c r="G257" s="4"/>
      <c r="H257" s="4"/>
      <c r="I257" s="4"/>
      <c r="J257" s="4"/>
      <c r="K257" s="4">
        <f t="shared" si="11"/>
        <v>0</v>
      </c>
    </row>
    <row r="258" spans="1:11" x14ac:dyDescent="0.2">
      <c r="A258" s="60" t="s">
        <v>200</v>
      </c>
      <c r="C258" s="4"/>
      <c r="D258" s="4">
        <v>3000</v>
      </c>
      <c r="E258" s="4"/>
      <c r="F258" s="4"/>
      <c r="G258" s="4"/>
      <c r="H258" s="4"/>
      <c r="I258" s="4"/>
      <c r="J258" s="4"/>
      <c r="K258" s="4">
        <f t="shared" si="11"/>
        <v>0</v>
      </c>
    </row>
    <row r="259" spans="1:11" ht="15" x14ac:dyDescent="0.35">
      <c r="A259" s="60" t="s">
        <v>1337</v>
      </c>
      <c r="C259" s="33"/>
      <c r="D259" s="33">
        <v>1000</v>
      </c>
      <c r="E259" s="4"/>
      <c r="F259" s="4"/>
      <c r="G259" s="4"/>
      <c r="H259" s="4"/>
      <c r="I259" s="4"/>
      <c r="J259" s="4"/>
      <c r="K259" s="4">
        <f t="shared" si="11"/>
        <v>0</v>
      </c>
    </row>
    <row r="260" spans="1:11" x14ac:dyDescent="0.2">
      <c r="A260" s="60" t="s">
        <v>1320</v>
      </c>
      <c r="C260" s="4"/>
      <c r="D260" s="4">
        <f>SUM(D255:D259)</f>
        <v>59000</v>
      </c>
      <c r="E260" s="4"/>
      <c r="F260" s="4"/>
      <c r="G260" s="4"/>
      <c r="H260" s="4"/>
      <c r="I260" s="4"/>
      <c r="J260" s="4"/>
      <c r="K260" s="4">
        <f t="shared" si="11"/>
        <v>0</v>
      </c>
    </row>
    <row r="261" spans="1:11" x14ac:dyDescent="0.2">
      <c r="C261" s="4"/>
      <c r="D261" s="4"/>
      <c r="E261" s="4"/>
      <c r="F261" s="4"/>
      <c r="G261" s="4"/>
      <c r="H261" s="4"/>
      <c r="I261" s="4"/>
      <c r="J261" s="4"/>
      <c r="K261" s="4">
        <f t="shared" si="11"/>
        <v>0</v>
      </c>
    </row>
    <row r="262" spans="1:11" ht="13.5" x14ac:dyDescent="0.25">
      <c r="A262" s="61" t="s">
        <v>1338</v>
      </c>
      <c r="C262" s="4"/>
      <c r="D262" s="4"/>
      <c r="E262" s="4">
        <v>0</v>
      </c>
      <c r="F262" s="4">
        <v>197</v>
      </c>
      <c r="G262" s="4">
        <v>197</v>
      </c>
      <c r="H262" s="4">
        <v>197</v>
      </c>
      <c r="I262" s="4">
        <v>197</v>
      </c>
      <c r="J262" s="4"/>
      <c r="K262" s="4">
        <f t="shared" si="11"/>
        <v>0</v>
      </c>
    </row>
    <row r="263" spans="1:11" x14ac:dyDescent="0.2">
      <c r="A263" s="60" t="s">
        <v>558</v>
      </c>
      <c r="C263" s="4"/>
      <c r="D263" s="4">
        <v>197</v>
      </c>
      <c r="E263" s="4"/>
      <c r="F263" s="4"/>
      <c r="G263" s="4"/>
      <c r="H263" s="4"/>
      <c r="I263" s="4"/>
      <c r="J263" s="4"/>
      <c r="K263" s="4">
        <f t="shared" si="11"/>
        <v>0</v>
      </c>
    </row>
    <row r="264" spans="1:11" x14ac:dyDescent="0.2">
      <c r="C264" s="4"/>
      <c r="D264" s="4"/>
      <c r="E264" s="4"/>
      <c r="F264" s="4"/>
      <c r="G264" s="4"/>
      <c r="H264" s="4"/>
      <c r="I264" s="4"/>
      <c r="J264" s="4"/>
      <c r="K264" s="4">
        <f t="shared" si="11"/>
        <v>0</v>
      </c>
    </row>
    <row r="265" spans="1:11" ht="13.5" x14ac:dyDescent="0.25">
      <c r="A265" s="88" t="s">
        <v>414</v>
      </c>
      <c r="C265" s="74" t="s">
        <v>418</v>
      </c>
      <c r="D265" s="74" t="s">
        <v>418</v>
      </c>
      <c r="E265" s="4">
        <v>1100</v>
      </c>
      <c r="F265" s="4">
        <v>700</v>
      </c>
      <c r="G265" s="4">
        <v>1100</v>
      </c>
      <c r="H265" s="4">
        <v>1100</v>
      </c>
      <c r="I265" s="4">
        <v>1100</v>
      </c>
      <c r="J265" s="4"/>
      <c r="K265" s="4">
        <f t="shared" si="11"/>
        <v>400</v>
      </c>
    </row>
    <row r="266" spans="1:11" x14ac:dyDescent="0.2">
      <c r="A266" s="60" t="s">
        <v>927</v>
      </c>
      <c r="B266" s="4"/>
      <c r="C266" s="4"/>
      <c r="D266" s="4">
        <v>500</v>
      </c>
      <c r="E266" s="4"/>
      <c r="F266" s="4"/>
      <c r="G266" s="4"/>
      <c r="H266" s="4"/>
      <c r="I266" s="4"/>
      <c r="J266" s="4"/>
      <c r="K266" s="4">
        <f t="shared" si="11"/>
        <v>0</v>
      </c>
    </row>
    <row r="267" spans="1:11" ht="15" x14ac:dyDescent="0.35">
      <c r="A267" s="60" t="s">
        <v>201</v>
      </c>
      <c r="C267" s="33"/>
      <c r="D267" s="33">
        <v>600</v>
      </c>
      <c r="E267" s="4"/>
      <c r="F267" s="4"/>
      <c r="G267" s="4"/>
      <c r="H267" s="4"/>
      <c r="I267" s="4"/>
      <c r="J267" s="4"/>
      <c r="K267" s="4">
        <f t="shared" si="11"/>
        <v>0</v>
      </c>
    </row>
    <row r="268" spans="1:11" x14ac:dyDescent="0.2">
      <c r="A268" s="60" t="s">
        <v>1320</v>
      </c>
      <c r="C268" s="4"/>
      <c r="D268" s="4">
        <f>SUM(D266:D267)</f>
        <v>1100</v>
      </c>
      <c r="E268" s="4"/>
      <c r="F268" s="4"/>
      <c r="G268" s="4"/>
      <c r="H268" s="4"/>
      <c r="I268" s="4"/>
      <c r="J268" s="4"/>
      <c r="K268" s="4">
        <f t="shared" si="11"/>
        <v>0</v>
      </c>
    </row>
    <row r="269" spans="1:11" x14ac:dyDescent="0.2">
      <c r="C269" s="4"/>
      <c r="D269" s="4"/>
      <c r="E269" s="4"/>
      <c r="F269" s="4"/>
      <c r="G269" s="4"/>
      <c r="H269" s="4"/>
      <c r="I269" s="4"/>
      <c r="J269" s="4"/>
      <c r="K269" s="4">
        <f t="shared" si="11"/>
        <v>0</v>
      </c>
    </row>
    <row r="270" spans="1:11" ht="13.5" x14ac:dyDescent="0.25">
      <c r="A270" s="61" t="s">
        <v>67</v>
      </c>
      <c r="C270" s="74" t="s">
        <v>418</v>
      </c>
      <c r="D270" s="74" t="s">
        <v>418</v>
      </c>
      <c r="E270" s="4">
        <v>1129</v>
      </c>
      <c r="F270" s="4">
        <v>5000</v>
      </c>
      <c r="G270" s="4">
        <v>5000</v>
      </c>
      <c r="H270" s="4">
        <v>5000</v>
      </c>
      <c r="I270" s="4">
        <v>5000</v>
      </c>
      <c r="J270" s="4"/>
      <c r="K270" s="4">
        <f t="shared" si="11"/>
        <v>0</v>
      </c>
    </row>
    <row r="271" spans="1:11" x14ac:dyDescent="0.2">
      <c r="A271" s="60" t="s">
        <v>1561</v>
      </c>
      <c r="C271" s="4"/>
      <c r="D271" s="4">
        <v>5000</v>
      </c>
      <c r="F271" s="4"/>
      <c r="G271" s="4"/>
      <c r="H271" s="4"/>
      <c r="I271" s="4"/>
      <c r="J271" s="4"/>
      <c r="K271" s="4">
        <f t="shared" si="11"/>
        <v>0</v>
      </c>
    </row>
    <row r="272" spans="1:11" ht="15" x14ac:dyDescent="0.35">
      <c r="A272" s="60" t="s">
        <v>1392</v>
      </c>
      <c r="C272" s="33"/>
      <c r="D272" s="33">
        <v>0</v>
      </c>
      <c r="F272" s="4"/>
      <c r="G272" s="4"/>
      <c r="H272" s="4"/>
      <c r="I272" s="4"/>
      <c r="J272" s="4"/>
      <c r="K272" s="4">
        <f t="shared" ref="K272:K293" si="12">+H272-F272</f>
        <v>0</v>
      </c>
    </row>
    <row r="273" spans="1:11" x14ac:dyDescent="0.2">
      <c r="A273" s="60" t="s">
        <v>1181</v>
      </c>
      <c r="C273" s="4"/>
      <c r="D273" s="4">
        <f>SUM(D271:D272)</f>
        <v>5000</v>
      </c>
      <c r="F273" s="4"/>
      <c r="G273" s="4"/>
      <c r="H273" s="4"/>
      <c r="I273" s="4"/>
      <c r="J273" s="4"/>
      <c r="K273" s="4">
        <f t="shared" si="12"/>
        <v>0</v>
      </c>
    </row>
    <row r="274" spans="1:11" x14ac:dyDescent="0.2">
      <c r="C274" s="4"/>
      <c r="D274" s="4"/>
      <c r="F274" s="4"/>
      <c r="G274" s="4"/>
      <c r="H274" s="4"/>
      <c r="I274" s="4"/>
      <c r="J274" s="4"/>
      <c r="K274" s="4">
        <f t="shared" si="12"/>
        <v>0</v>
      </c>
    </row>
    <row r="275" spans="1:11" ht="13.5" x14ac:dyDescent="0.25">
      <c r="A275" s="61" t="s">
        <v>29</v>
      </c>
      <c r="C275" s="74" t="s">
        <v>418</v>
      </c>
      <c r="D275" s="74" t="s">
        <v>418</v>
      </c>
      <c r="E275" s="4">
        <f>10261-85</f>
        <v>10176</v>
      </c>
      <c r="F275" s="4">
        <v>16287</v>
      </c>
      <c r="G275" s="4">
        <v>18287</v>
      </c>
      <c r="H275" s="4">
        <v>18287</v>
      </c>
      <c r="I275" s="4">
        <v>18287</v>
      </c>
      <c r="J275" s="4"/>
      <c r="K275" s="4">
        <f t="shared" si="12"/>
        <v>2000</v>
      </c>
    </row>
    <row r="276" spans="1:11" x14ac:dyDescent="0.2">
      <c r="A276" s="60" t="s">
        <v>1954</v>
      </c>
      <c r="B276" s="4" t="s">
        <v>418</v>
      </c>
      <c r="C276" s="4"/>
      <c r="D276" s="4">
        <v>3772</v>
      </c>
      <c r="E276" s="4"/>
      <c r="F276" s="4"/>
      <c r="G276" s="4"/>
      <c r="H276" s="4"/>
      <c r="I276" s="4"/>
      <c r="J276" s="4"/>
      <c r="K276" s="4">
        <f t="shared" si="12"/>
        <v>0</v>
      </c>
    </row>
    <row r="277" spans="1:11" x14ac:dyDescent="0.2">
      <c r="A277" s="60" t="s">
        <v>1175</v>
      </c>
      <c r="C277" s="4"/>
      <c r="D277" s="4">
        <v>154</v>
      </c>
      <c r="E277" s="4"/>
      <c r="F277" s="4"/>
      <c r="G277" s="4"/>
      <c r="H277" s="4"/>
      <c r="I277" s="4"/>
      <c r="J277" s="4"/>
      <c r="K277" s="4">
        <f t="shared" si="12"/>
        <v>0</v>
      </c>
    </row>
    <row r="278" spans="1:11" x14ac:dyDescent="0.2">
      <c r="A278" s="60" t="s">
        <v>1176</v>
      </c>
      <c r="C278" s="4"/>
      <c r="D278" s="4">
        <v>1548</v>
      </c>
      <c r="E278" s="4"/>
      <c r="F278" s="4"/>
      <c r="G278" s="4"/>
      <c r="H278" s="4"/>
      <c r="I278" s="4"/>
      <c r="J278" s="4"/>
      <c r="K278" s="4">
        <f t="shared" si="12"/>
        <v>0</v>
      </c>
    </row>
    <row r="279" spans="1:11" x14ac:dyDescent="0.2">
      <c r="A279" s="60" t="s">
        <v>1466</v>
      </c>
      <c r="C279" s="4"/>
      <c r="D279" s="4">
        <v>5000</v>
      </c>
      <c r="E279" s="4"/>
      <c r="F279" s="4"/>
      <c r="G279" s="4"/>
      <c r="H279" s="4"/>
      <c r="I279" s="4"/>
      <c r="J279" s="4"/>
      <c r="K279" s="4">
        <f t="shared" si="12"/>
        <v>0</v>
      </c>
    </row>
    <row r="280" spans="1:11" x14ac:dyDescent="0.2">
      <c r="A280" s="60" t="s">
        <v>2192</v>
      </c>
      <c r="C280" s="4"/>
      <c r="D280" s="4">
        <v>650</v>
      </c>
      <c r="E280" s="4"/>
      <c r="F280" s="4"/>
      <c r="G280" s="4"/>
      <c r="H280" s="4"/>
      <c r="I280" s="4"/>
      <c r="J280" s="4"/>
      <c r="K280" s="4">
        <f t="shared" si="12"/>
        <v>0</v>
      </c>
    </row>
    <row r="281" spans="1:11" x14ac:dyDescent="0.2">
      <c r="A281" s="60" t="s">
        <v>1467</v>
      </c>
      <c r="C281" s="4"/>
      <c r="D281" s="4">
        <v>1050</v>
      </c>
      <c r="E281" s="4"/>
      <c r="F281" s="4"/>
      <c r="G281" s="4"/>
      <c r="H281" s="4"/>
      <c r="I281" s="4"/>
      <c r="J281" s="4"/>
      <c r="K281" s="4">
        <f t="shared" si="12"/>
        <v>0</v>
      </c>
    </row>
    <row r="282" spans="1:11" x14ac:dyDescent="0.2">
      <c r="A282" s="60" t="s">
        <v>2533</v>
      </c>
      <c r="C282" s="4"/>
      <c r="D282" s="4">
        <v>2000</v>
      </c>
      <c r="E282" s="4"/>
      <c r="F282" s="4"/>
      <c r="G282" s="4"/>
      <c r="H282" s="4"/>
      <c r="I282" s="4"/>
      <c r="J282" s="4"/>
      <c r="K282" s="4">
        <f t="shared" si="12"/>
        <v>0</v>
      </c>
    </row>
    <row r="283" spans="1:11" ht="15" x14ac:dyDescent="0.35">
      <c r="A283" s="60" t="s">
        <v>1177</v>
      </c>
      <c r="C283" s="33"/>
      <c r="D283" s="4">
        <v>463</v>
      </c>
      <c r="E283" s="4"/>
      <c r="F283" s="4"/>
      <c r="G283" s="4"/>
      <c r="H283" s="4"/>
      <c r="I283" s="4"/>
      <c r="J283" s="4"/>
      <c r="K283" s="4">
        <f t="shared" si="12"/>
        <v>0</v>
      </c>
    </row>
    <row r="284" spans="1:11" ht="15" x14ac:dyDescent="0.35">
      <c r="B284" s="60">
        <v>0</v>
      </c>
      <c r="C284" s="33"/>
      <c r="D284" s="4">
        <f>+C284*B284</f>
        <v>0</v>
      </c>
      <c r="E284" s="4"/>
      <c r="F284" s="4"/>
      <c r="G284" s="4"/>
      <c r="H284" s="4"/>
      <c r="I284" s="4"/>
      <c r="J284" s="4"/>
      <c r="K284" s="4">
        <f t="shared" si="12"/>
        <v>0</v>
      </c>
    </row>
    <row r="285" spans="1:11" ht="15" x14ac:dyDescent="0.35">
      <c r="A285" s="60" t="s">
        <v>1915</v>
      </c>
      <c r="C285" s="33"/>
      <c r="D285" s="33">
        <v>3650</v>
      </c>
      <c r="E285" s="4"/>
      <c r="F285" s="4"/>
      <c r="G285" s="4"/>
      <c r="H285" s="4"/>
      <c r="I285" s="4"/>
      <c r="J285" s="4"/>
      <c r="K285" s="4">
        <f t="shared" si="12"/>
        <v>0</v>
      </c>
    </row>
    <row r="286" spans="1:11" x14ac:dyDescent="0.2">
      <c r="A286" s="60" t="s">
        <v>1320</v>
      </c>
      <c r="C286" s="4"/>
      <c r="D286" s="4">
        <f>SUM(D276:D285)</f>
        <v>18287</v>
      </c>
      <c r="E286" s="4"/>
      <c r="F286" s="4"/>
      <c r="G286" s="4"/>
      <c r="H286" s="4"/>
      <c r="I286" s="4"/>
      <c r="J286" s="4"/>
      <c r="K286" s="4">
        <f t="shared" si="12"/>
        <v>0</v>
      </c>
    </row>
    <row r="287" spans="1:11" x14ac:dyDescent="0.2">
      <c r="C287" s="4"/>
      <c r="D287" s="4"/>
      <c r="E287" s="4"/>
      <c r="F287" s="4"/>
      <c r="G287" s="4"/>
      <c r="H287" s="4"/>
      <c r="I287" s="4"/>
      <c r="J287" s="4"/>
      <c r="K287" s="4">
        <f t="shared" si="12"/>
        <v>0</v>
      </c>
    </row>
    <row r="288" spans="1:11" ht="13.5" x14ac:dyDescent="0.25">
      <c r="A288" s="61" t="s">
        <v>1178</v>
      </c>
      <c r="C288" s="74" t="s">
        <v>418</v>
      </c>
      <c r="D288" s="74" t="s">
        <v>418</v>
      </c>
      <c r="E288" s="4">
        <v>129938</v>
      </c>
      <c r="F288" s="4">
        <v>121500</v>
      </c>
      <c r="G288" s="4">
        <v>200000</v>
      </c>
      <c r="H288" s="4">
        <v>150000</v>
      </c>
      <c r="I288" s="4">
        <v>150000</v>
      </c>
      <c r="J288" s="4"/>
      <c r="K288" s="4">
        <f t="shared" si="12"/>
        <v>28500</v>
      </c>
    </row>
    <row r="289" spans="1:11" x14ac:dyDescent="0.2">
      <c r="A289" s="47" t="s">
        <v>2534</v>
      </c>
      <c r="B289" s="4"/>
      <c r="C289" s="4">
        <v>0</v>
      </c>
      <c r="D289" s="73">
        <v>150000</v>
      </c>
      <c r="E289" s="4"/>
      <c r="F289" s="4"/>
      <c r="G289" s="4"/>
      <c r="H289" s="4"/>
      <c r="I289" s="4"/>
      <c r="J289" s="4"/>
      <c r="K289" s="4">
        <f t="shared" si="12"/>
        <v>0</v>
      </c>
    </row>
    <row r="290" spans="1:11" ht="15" x14ac:dyDescent="0.35">
      <c r="A290" s="47" t="s">
        <v>2482</v>
      </c>
      <c r="B290" s="4"/>
      <c r="C290" s="4"/>
      <c r="D290" s="423">
        <v>0</v>
      </c>
      <c r="E290" s="4"/>
      <c r="F290" s="4"/>
      <c r="G290" s="4"/>
      <c r="H290" s="4"/>
      <c r="I290" s="4"/>
      <c r="J290" s="4"/>
      <c r="K290" s="4">
        <f t="shared" si="12"/>
        <v>0</v>
      </c>
    </row>
    <row r="291" spans="1:11" x14ac:dyDescent="0.2">
      <c r="A291" s="47"/>
      <c r="B291" s="4"/>
      <c r="C291" s="4"/>
      <c r="D291" s="73">
        <f>SUM(D289:D290)</f>
        <v>150000</v>
      </c>
      <c r="E291" s="4"/>
      <c r="F291" s="4"/>
      <c r="G291" s="4"/>
      <c r="H291" s="4"/>
      <c r="I291" s="4"/>
      <c r="J291" s="4"/>
      <c r="K291" s="4">
        <f t="shared" si="12"/>
        <v>0</v>
      </c>
    </row>
    <row r="292" spans="1:11" x14ac:dyDescent="0.2">
      <c r="C292" s="4"/>
      <c r="D292" s="4"/>
      <c r="E292" s="4"/>
      <c r="F292" s="4"/>
      <c r="G292" s="4"/>
      <c r="H292" s="4"/>
      <c r="I292" s="4"/>
      <c r="J292" s="4"/>
      <c r="K292" s="4">
        <f t="shared" si="12"/>
        <v>0</v>
      </c>
    </row>
    <row r="293" spans="1:11" ht="13.5" x14ac:dyDescent="0.25">
      <c r="A293" s="61" t="s">
        <v>1179</v>
      </c>
      <c r="C293" s="74" t="s">
        <v>418</v>
      </c>
      <c r="D293" s="74" t="s">
        <v>418</v>
      </c>
      <c r="E293" s="4">
        <v>6777</v>
      </c>
      <c r="F293" s="4">
        <v>7000</v>
      </c>
      <c r="G293" s="4">
        <v>7000</v>
      </c>
      <c r="H293" s="4">
        <v>7000</v>
      </c>
      <c r="I293" s="4">
        <v>7000</v>
      </c>
      <c r="J293" s="4"/>
      <c r="K293" s="4">
        <f t="shared" si="12"/>
        <v>0</v>
      </c>
    </row>
    <row r="294" spans="1:11" x14ac:dyDescent="0.2">
      <c r="A294" s="60" t="s">
        <v>265</v>
      </c>
      <c r="C294" s="4"/>
      <c r="D294" s="4">
        <v>7000</v>
      </c>
      <c r="E294" s="4"/>
      <c r="F294" s="4"/>
      <c r="G294" s="4"/>
      <c r="H294" s="4"/>
      <c r="I294" s="4"/>
      <c r="J294" s="4"/>
    </row>
    <row r="295" spans="1:11" x14ac:dyDescent="0.2">
      <c r="C295" s="4"/>
      <c r="D295" s="4"/>
      <c r="E295" s="4"/>
      <c r="F295" s="4"/>
      <c r="G295" s="4"/>
      <c r="H295" s="4"/>
      <c r="I295" s="4"/>
      <c r="J295" s="4"/>
    </row>
    <row r="296" spans="1:11" ht="15" x14ac:dyDescent="0.35">
      <c r="A296" s="61" t="s">
        <v>1180</v>
      </c>
      <c r="C296" s="4" t="s">
        <v>418</v>
      </c>
      <c r="D296" s="4" t="s">
        <v>418</v>
      </c>
      <c r="E296" s="33">
        <v>41496</v>
      </c>
      <c r="F296" s="33">
        <v>4000</v>
      </c>
      <c r="G296" s="33">
        <v>4000</v>
      </c>
      <c r="H296" s="33">
        <v>4000</v>
      </c>
      <c r="I296" s="33">
        <v>4000</v>
      </c>
      <c r="J296" s="33"/>
    </row>
    <row r="297" spans="1:11" x14ac:dyDescent="0.2">
      <c r="A297" s="47" t="s">
        <v>2535</v>
      </c>
      <c r="C297" s="4"/>
      <c r="D297" s="4">
        <v>2000</v>
      </c>
      <c r="E297" s="4"/>
      <c r="F297" s="4"/>
      <c r="G297" s="4"/>
      <c r="H297" s="4"/>
      <c r="I297" s="4"/>
      <c r="J297" s="4"/>
    </row>
    <row r="298" spans="1:11" x14ac:dyDescent="0.2">
      <c r="A298" s="47" t="s">
        <v>1772</v>
      </c>
      <c r="C298" s="4"/>
      <c r="D298" s="4">
        <v>1000</v>
      </c>
      <c r="E298" s="4"/>
      <c r="F298" s="4"/>
      <c r="G298" s="4"/>
      <c r="H298" s="4"/>
      <c r="I298" s="4"/>
      <c r="J298" s="4"/>
    </row>
    <row r="299" spans="1:11" x14ac:dyDescent="0.2">
      <c r="A299" s="47"/>
      <c r="C299" s="4"/>
      <c r="D299" s="4"/>
      <c r="E299" s="4"/>
      <c r="F299" s="4"/>
      <c r="G299" s="4"/>
      <c r="H299" s="4"/>
      <c r="I299" s="4"/>
      <c r="J299" s="4"/>
    </row>
    <row r="300" spans="1:11" x14ac:dyDescent="0.2">
      <c r="A300" s="47"/>
      <c r="C300" s="4"/>
      <c r="D300" s="4">
        <v>0</v>
      </c>
      <c r="E300" s="4"/>
      <c r="F300" s="4"/>
      <c r="G300" s="4"/>
      <c r="H300" s="4"/>
      <c r="I300" s="4"/>
      <c r="J300" s="4"/>
    </row>
    <row r="301" spans="1:11" ht="15" x14ac:dyDescent="0.35">
      <c r="A301" s="47" t="s">
        <v>1688</v>
      </c>
      <c r="C301" s="4"/>
      <c r="D301" s="33">
        <v>1000</v>
      </c>
      <c r="E301" s="33"/>
      <c r="F301" s="33"/>
      <c r="G301" s="33"/>
      <c r="H301" s="33"/>
      <c r="I301" s="4"/>
      <c r="J301" s="4"/>
    </row>
    <row r="302" spans="1:11" x14ac:dyDescent="0.2">
      <c r="D302" s="4">
        <f>SUM(D297:D301)</f>
        <v>4000</v>
      </c>
      <c r="E302" s="4"/>
      <c r="F302" s="4"/>
      <c r="G302" s="4"/>
      <c r="H302" s="4"/>
      <c r="I302" s="4"/>
      <c r="J302" s="4"/>
    </row>
    <row r="303" spans="1:11" x14ac:dyDescent="0.2">
      <c r="D303" s="4"/>
      <c r="E303" s="4"/>
      <c r="F303" s="4"/>
      <c r="G303" s="4"/>
      <c r="H303" s="4"/>
      <c r="I303" s="4"/>
      <c r="J303" s="4"/>
    </row>
    <row r="304" spans="1:11" x14ac:dyDescent="0.2">
      <c r="D304" s="4"/>
      <c r="E304" s="4"/>
      <c r="F304" s="4"/>
      <c r="G304" s="4"/>
      <c r="H304" s="4"/>
      <c r="I304" s="4"/>
      <c r="J304" s="4"/>
    </row>
    <row r="305" spans="1:12" x14ac:dyDescent="0.2">
      <c r="D305" s="4"/>
      <c r="E305" s="4"/>
      <c r="F305" s="4"/>
      <c r="G305" s="4"/>
      <c r="H305" s="4"/>
      <c r="I305" s="4"/>
      <c r="J305" s="4"/>
    </row>
    <row r="306" spans="1:12" x14ac:dyDescent="0.2">
      <c r="D306" s="4"/>
      <c r="E306" s="4"/>
      <c r="F306" s="4"/>
      <c r="G306" s="4"/>
      <c r="H306" s="4"/>
      <c r="I306" s="4"/>
      <c r="J306" s="4"/>
    </row>
    <row r="307" spans="1:12" ht="15" x14ac:dyDescent="0.35">
      <c r="A307" s="61"/>
      <c r="D307" s="4"/>
      <c r="E307" s="33"/>
      <c r="F307" s="33"/>
      <c r="G307" s="33"/>
      <c r="H307" s="33"/>
      <c r="I307" s="33"/>
      <c r="J307" s="33"/>
    </row>
    <row r="308" spans="1:12" x14ac:dyDescent="0.2">
      <c r="A308" s="239" t="s">
        <v>1424</v>
      </c>
      <c r="D308" s="4"/>
      <c r="E308" s="4">
        <f t="shared" ref="E308:J308" si="13">SUM(E2:E307)</f>
        <v>6877696</v>
      </c>
      <c r="F308" s="4">
        <f t="shared" si="13"/>
        <v>7261645</v>
      </c>
      <c r="G308" s="4">
        <f t="shared" si="13"/>
        <v>7504169</v>
      </c>
      <c r="H308" s="4">
        <f t="shared" si="13"/>
        <v>7454169</v>
      </c>
      <c r="I308" s="4">
        <f t="shared" si="13"/>
        <v>7474282</v>
      </c>
      <c r="J308" s="4">
        <f t="shared" si="13"/>
        <v>0</v>
      </c>
    </row>
    <row r="309" spans="1:12" ht="15" x14ac:dyDescent="0.35">
      <c r="A309" s="61"/>
      <c r="D309" s="4"/>
      <c r="E309" s="33"/>
      <c r="F309" s="33"/>
      <c r="G309" s="33"/>
      <c r="H309" s="33"/>
      <c r="I309" s="33"/>
      <c r="J309" s="33"/>
    </row>
    <row r="310" spans="1:12" x14ac:dyDescent="0.2">
      <c r="A310" s="60" t="s">
        <v>628</v>
      </c>
      <c r="E310" s="4">
        <f t="shared" ref="E310:J310" si="14">SUM(E6:E158)</f>
        <v>6298055</v>
      </c>
      <c r="F310" s="4">
        <f t="shared" si="14"/>
        <v>6669865</v>
      </c>
      <c r="G310" s="4">
        <f t="shared" si="14"/>
        <v>6813953</v>
      </c>
      <c r="H310" s="4">
        <f t="shared" si="14"/>
        <v>6813953</v>
      </c>
      <c r="I310" s="4">
        <f t="shared" si="14"/>
        <v>6834066</v>
      </c>
      <c r="J310" s="4">
        <f t="shared" si="14"/>
        <v>0</v>
      </c>
      <c r="K310" s="4">
        <f>+H310-F310</f>
        <v>144088</v>
      </c>
      <c r="L310" s="221">
        <f>+K310/F310</f>
        <v>2.1602836039410094E-2</v>
      </c>
    </row>
    <row r="311" spans="1:12" x14ac:dyDescent="0.2">
      <c r="A311" s="60" t="s">
        <v>1024</v>
      </c>
      <c r="E311" s="4">
        <f>SUM(E159:E277)</f>
        <v>401430</v>
      </c>
      <c r="F311" s="4">
        <f>SUM(F159:F285)</f>
        <v>459280</v>
      </c>
      <c r="G311" s="4">
        <f>SUM(G159:G276)</f>
        <v>479216</v>
      </c>
      <c r="H311" s="4">
        <f>SUM(H159:H276)</f>
        <v>479216</v>
      </c>
      <c r="I311" s="4">
        <f>SUM(I159:I275)</f>
        <v>479216</v>
      </c>
      <c r="J311" s="4">
        <f>SUM(J159:J275)</f>
        <v>0</v>
      </c>
      <c r="K311" s="4">
        <f>+H311-F311</f>
        <v>19936</v>
      </c>
      <c r="L311" s="221">
        <f>+K311/F311</f>
        <v>4.3407071938686641E-2</v>
      </c>
    </row>
    <row r="312" spans="1:12" ht="15" x14ac:dyDescent="0.35">
      <c r="A312" s="60" t="s">
        <v>1025</v>
      </c>
      <c r="E312" s="33">
        <f t="shared" ref="E312:J312" si="15">SUM(E281:E296)</f>
        <v>178211</v>
      </c>
      <c r="F312" s="33">
        <f t="shared" si="15"/>
        <v>132500</v>
      </c>
      <c r="G312" s="33">
        <f t="shared" si="15"/>
        <v>211000</v>
      </c>
      <c r="H312" s="33">
        <f t="shared" si="15"/>
        <v>161000</v>
      </c>
      <c r="I312" s="33">
        <f t="shared" si="15"/>
        <v>161000</v>
      </c>
      <c r="J312" s="33">
        <f t="shared" si="15"/>
        <v>0</v>
      </c>
      <c r="K312" s="4">
        <f>+H312-F312</f>
        <v>28500</v>
      </c>
      <c r="L312" s="221">
        <f>+K312/F312</f>
        <v>0.21509433962264152</v>
      </c>
    </row>
    <row r="313" spans="1:12" x14ac:dyDescent="0.2">
      <c r="A313" s="60" t="s">
        <v>1320</v>
      </c>
      <c r="E313" s="4">
        <f t="shared" ref="E313:J313" si="16">SUM(E310:E312)</f>
        <v>6877696</v>
      </c>
      <c r="F313" s="4">
        <f t="shared" si="16"/>
        <v>7261645</v>
      </c>
      <c r="G313" s="4">
        <f t="shared" si="16"/>
        <v>7504169</v>
      </c>
      <c r="H313" s="4">
        <f t="shared" ref="H313" si="17">SUM(H310:H312)</f>
        <v>7454169</v>
      </c>
      <c r="I313" s="4">
        <f t="shared" si="16"/>
        <v>7474282</v>
      </c>
      <c r="J313" s="4">
        <f t="shared" si="16"/>
        <v>0</v>
      </c>
    </row>
    <row r="315" spans="1:12" x14ac:dyDescent="0.2">
      <c r="G315" s="4"/>
      <c r="J315" s="4">
        <v>20113</v>
      </c>
    </row>
    <row r="316" spans="1:12" x14ac:dyDescent="0.2">
      <c r="G316" s="4"/>
      <c r="I316" s="4">
        <f>I313-H313</f>
        <v>20113</v>
      </c>
      <c r="J316" s="4">
        <f>J313-H313</f>
        <v>-7454169</v>
      </c>
    </row>
    <row r="317" spans="1:12" x14ac:dyDescent="0.2">
      <c r="J317" s="4">
        <f>J315-J316</f>
        <v>7474282</v>
      </c>
    </row>
    <row r="322" spans="10:10" x14ac:dyDescent="0.2">
      <c r="J322" s="4"/>
    </row>
  </sheetData>
  <mergeCells count="1">
    <mergeCell ref="A1:J1"/>
  </mergeCells>
  <phoneticPr fontId="0" type="noConversion"/>
  <printOptions gridLines="1"/>
  <pageMargins left="0.75" right="0.16" top="0.51" bottom="0.22" header="0.5" footer="0"/>
  <pageSetup scale="85" fitToHeight="2" orientation="landscape" r:id="rId1"/>
  <headerFooter alignWithMargins="0"/>
  <rowBreaks count="3" manualBreakCount="3">
    <brk id="89" max="9" man="1"/>
    <brk id="186" max="9" man="1"/>
    <brk id="229" max="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52"/>
  <sheetViews>
    <sheetView view="pageBreakPreview" zoomScaleNormal="100" zoomScaleSheetLayoutView="100" workbookViewId="0">
      <pane ySplit="5" topLeftCell="A131" activePane="bottomLeft" state="frozen"/>
      <selection activeCell="D43" sqref="D43"/>
      <selection pane="bottomLeft" activeCell="J6" sqref="J6:J153"/>
    </sheetView>
  </sheetViews>
  <sheetFormatPr defaultColWidth="9.140625" defaultRowHeight="12.75" x14ac:dyDescent="0.2"/>
  <cols>
    <col min="1" max="1" width="50.7109375" style="348" bestFit="1" customWidth="1"/>
    <col min="2" max="2" width="8.85546875" style="348" bestFit="1" customWidth="1"/>
    <col min="3" max="4" width="10.140625" style="348" customWidth="1"/>
    <col min="5" max="5" width="13.7109375" style="348" customWidth="1"/>
    <col min="6" max="6" width="10.28515625" style="348" bestFit="1" customWidth="1"/>
    <col min="7" max="7" width="10.85546875" style="348" bestFit="1" customWidth="1"/>
    <col min="8" max="8" width="13.5703125" style="348" bestFit="1" customWidth="1"/>
    <col min="9" max="9" width="10.28515625" style="348" bestFit="1" customWidth="1"/>
    <col min="10" max="10" width="9.5703125" style="348" customWidth="1"/>
    <col min="11" max="16384" width="9.140625" style="348"/>
  </cols>
  <sheetData>
    <row r="1" spans="1:12" x14ac:dyDescent="0.2">
      <c r="A1" s="562" t="str">
        <f>'SUMMARY BY FUND'!A1:J1</f>
        <v>2023-24 BUDGET</v>
      </c>
      <c r="B1" s="563"/>
      <c r="C1" s="563"/>
      <c r="D1" s="563"/>
      <c r="E1" s="563"/>
      <c r="F1" s="563"/>
      <c r="G1" s="563"/>
      <c r="H1" s="563"/>
      <c r="I1" s="563"/>
      <c r="J1" s="563"/>
    </row>
    <row r="2" spans="1:12" ht="18.75" x14ac:dyDescent="0.3">
      <c r="A2" s="202" t="s">
        <v>1875</v>
      </c>
      <c r="B2" s="202"/>
      <c r="C2" s="202"/>
      <c r="D2" s="202"/>
      <c r="E2" s="202"/>
      <c r="F2" s="202"/>
    </row>
    <row r="3" spans="1:12" x14ac:dyDescent="0.2">
      <c r="B3" s="3"/>
      <c r="C3" s="3"/>
      <c r="D3" s="3"/>
      <c r="E3" s="3"/>
      <c r="F3" s="3"/>
    </row>
    <row r="4" spans="1:12" x14ac:dyDescent="0.2">
      <c r="B4" s="3"/>
      <c r="C4" s="3"/>
      <c r="D4" s="3"/>
      <c r="E4" s="19" t="s">
        <v>250</v>
      </c>
      <c r="F4" s="19" t="s">
        <v>251</v>
      </c>
      <c r="G4" s="19" t="s">
        <v>68</v>
      </c>
      <c r="H4" s="19" t="s">
        <v>432</v>
      </c>
      <c r="I4" s="19" t="s">
        <v>338</v>
      </c>
      <c r="J4" s="19" t="s">
        <v>370</v>
      </c>
    </row>
    <row r="5" spans="1:12" ht="15" x14ac:dyDescent="0.35">
      <c r="B5" s="3"/>
      <c r="C5" s="3"/>
      <c r="D5" s="3"/>
      <c r="E5" s="419" t="s">
        <v>2163</v>
      </c>
      <c r="F5" s="419" t="s">
        <v>2290</v>
      </c>
      <c r="G5" s="419" t="s">
        <v>2507</v>
      </c>
      <c r="H5" s="419" t="s">
        <v>2507</v>
      </c>
      <c r="I5" s="419" t="s">
        <v>2507</v>
      </c>
      <c r="J5" s="419" t="s">
        <v>2507</v>
      </c>
    </row>
    <row r="6" spans="1:12" ht="13.5" x14ac:dyDescent="0.25">
      <c r="A6" s="417" t="s">
        <v>274</v>
      </c>
      <c r="B6" s="3"/>
      <c r="C6" s="3"/>
      <c r="D6" s="3"/>
      <c r="E6" s="3">
        <v>61109</v>
      </c>
      <c r="F6" s="3">
        <v>61880</v>
      </c>
      <c r="G6" s="3">
        <v>62213</v>
      </c>
      <c r="H6" s="3">
        <v>62213</v>
      </c>
      <c r="I6" s="3">
        <v>62213</v>
      </c>
      <c r="J6" s="3"/>
    </row>
    <row r="7" spans="1:12" ht="15" x14ac:dyDescent="0.35">
      <c r="A7" s="416" t="s">
        <v>150</v>
      </c>
      <c r="B7" s="3">
        <v>52</v>
      </c>
      <c r="C7" s="3">
        <f>29.91*40</f>
        <v>1196.4000000000001</v>
      </c>
      <c r="D7" s="14">
        <f>ROUND(B7*C7,0)</f>
        <v>62213</v>
      </c>
      <c r="E7" s="3"/>
      <c r="F7" s="3"/>
      <c r="G7" s="3"/>
      <c r="H7" s="3"/>
      <c r="I7" s="3"/>
      <c r="J7" s="3"/>
    </row>
    <row r="8" spans="1:12" x14ac:dyDescent="0.2">
      <c r="A8" s="416"/>
      <c r="B8" s="3"/>
      <c r="C8" s="3"/>
      <c r="D8" s="3">
        <f>SUM(D7:D7)</f>
        <v>62213</v>
      </c>
      <c r="E8" s="3"/>
      <c r="F8" s="3"/>
      <c r="G8" s="3"/>
      <c r="H8" s="3"/>
      <c r="I8" s="3"/>
      <c r="J8" s="3"/>
    </row>
    <row r="9" spans="1:12" x14ac:dyDescent="0.2">
      <c r="A9" s="416"/>
      <c r="B9" s="3"/>
      <c r="C9" s="3"/>
      <c r="D9" s="3"/>
      <c r="E9" s="3"/>
      <c r="F9" s="3"/>
      <c r="G9" s="3"/>
      <c r="H9" s="3"/>
      <c r="I9" s="3"/>
      <c r="J9" s="3"/>
    </row>
    <row r="10" spans="1:12" ht="13.5" x14ac:dyDescent="0.25">
      <c r="A10" s="417" t="s">
        <v>572</v>
      </c>
      <c r="B10" s="3"/>
      <c r="C10" s="3"/>
      <c r="D10" s="3"/>
      <c r="E10" s="3">
        <v>309929</v>
      </c>
      <c r="F10" s="3">
        <v>410314</v>
      </c>
      <c r="G10" s="3">
        <v>439087</v>
      </c>
      <c r="H10" s="3">
        <v>439087</v>
      </c>
      <c r="I10" s="3">
        <v>439087</v>
      </c>
      <c r="J10" s="3"/>
      <c r="K10" s="3">
        <v>410314</v>
      </c>
      <c r="L10" s="3">
        <f t="shared" ref="L10:L41" si="0">+K10-G10</f>
        <v>-28773</v>
      </c>
    </row>
    <row r="11" spans="1:12" x14ac:dyDescent="0.2">
      <c r="A11" s="416" t="s">
        <v>803</v>
      </c>
      <c r="B11" s="3">
        <v>52</v>
      </c>
      <c r="C11" s="3">
        <v>950</v>
      </c>
      <c r="D11" s="3">
        <f t="shared" ref="D11:D17" si="1">ROUND(B11*C11,0)</f>
        <v>49400</v>
      </c>
      <c r="E11" s="3"/>
      <c r="F11" s="3"/>
      <c r="G11" s="3"/>
      <c r="H11" s="3"/>
      <c r="I11" s="3"/>
      <c r="J11" s="3"/>
      <c r="K11" s="3"/>
      <c r="L11" s="3">
        <f t="shared" si="0"/>
        <v>0</v>
      </c>
    </row>
    <row r="12" spans="1:12" x14ac:dyDescent="0.2">
      <c r="A12" s="416" t="s">
        <v>803</v>
      </c>
      <c r="B12" s="3">
        <v>52</v>
      </c>
      <c r="C12" s="3">
        <f>26.29*40</f>
        <v>1051.5999999999999</v>
      </c>
      <c r="D12" s="3">
        <f t="shared" si="1"/>
        <v>54683</v>
      </c>
      <c r="E12" s="3"/>
      <c r="F12" s="3"/>
      <c r="G12" s="3"/>
      <c r="H12" s="3"/>
      <c r="I12" s="3"/>
      <c r="J12" s="3"/>
      <c r="K12" s="3"/>
      <c r="L12" s="3">
        <f t="shared" si="0"/>
        <v>0</v>
      </c>
    </row>
    <row r="13" spans="1:12" x14ac:dyDescent="0.2">
      <c r="A13" s="416" t="s">
        <v>803</v>
      </c>
      <c r="B13" s="3">
        <v>52</v>
      </c>
      <c r="C13" s="3">
        <f>26.29*40</f>
        <v>1051.5999999999999</v>
      </c>
      <c r="D13" s="3">
        <f t="shared" si="1"/>
        <v>54683</v>
      </c>
      <c r="E13" s="3"/>
      <c r="F13" s="3"/>
      <c r="G13" s="3"/>
      <c r="H13" s="3"/>
      <c r="I13" s="3"/>
      <c r="J13" s="3"/>
      <c r="K13" s="3"/>
      <c r="L13" s="3">
        <f t="shared" si="0"/>
        <v>0</v>
      </c>
    </row>
    <row r="14" spans="1:12" x14ac:dyDescent="0.2">
      <c r="A14" s="416" t="s">
        <v>803</v>
      </c>
      <c r="B14" s="3">
        <v>52</v>
      </c>
      <c r="C14" s="3">
        <f>26.29*40</f>
        <v>1051.5999999999999</v>
      </c>
      <c r="D14" s="3">
        <f t="shared" si="1"/>
        <v>54683</v>
      </c>
      <c r="E14" s="3"/>
      <c r="F14" s="3"/>
      <c r="G14" s="3"/>
      <c r="H14" s="3"/>
      <c r="I14" s="3"/>
      <c r="J14" s="3"/>
      <c r="K14" s="3"/>
      <c r="L14" s="3">
        <f t="shared" si="0"/>
        <v>0</v>
      </c>
    </row>
    <row r="15" spans="1:12" x14ac:dyDescent="0.2">
      <c r="A15" s="416" t="s">
        <v>803</v>
      </c>
      <c r="B15" s="3">
        <v>52</v>
      </c>
      <c r="C15" s="3">
        <f>23.74*40</f>
        <v>949.59999999999991</v>
      </c>
      <c r="D15" s="3">
        <f t="shared" si="1"/>
        <v>49379</v>
      </c>
      <c r="E15" s="3"/>
      <c r="F15" s="3"/>
      <c r="G15" s="3"/>
      <c r="H15" s="3"/>
      <c r="I15" s="3"/>
      <c r="J15" s="3"/>
      <c r="K15" s="3"/>
      <c r="L15" s="3">
        <f t="shared" si="0"/>
        <v>0</v>
      </c>
    </row>
    <row r="16" spans="1:12" x14ac:dyDescent="0.2">
      <c r="A16" s="416" t="s">
        <v>803</v>
      </c>
      <c r="B16" s="3">
        <v>52</v>
      </c>
      <c r="C16" s="3">
        <f>26.29*40</f>
        <v>1051.5999999999999</v>
      </c>
      <c r="D16" s="3">
        <f t="shared" si="1"/>
        <v>54683</v>
      </c>
      <c r="E16" s="3"/>
      <c r="F16" s="3"/>
      <c r="G16" s="3"/>
      <c r="H16" s="3"/>
      <c r="I16" s="3"/>
      <c r="J16" s="3"/>
      <c r="K16" s="3"/>
      <c r="L16" s="3">
        <f t="shared" si="0"/>
        <v>0</v>
      </c>
    </row>
    <row r="17" spans="1:12" x14ac:dyDescent="0.2">
      <c r="A17" s="416" t="s">
        <v>803</v>
      </c>
      <c r="B17" s="3">
        <v>52</v>
      </c>
      <c r="C17" s="3">
        <f>23.74*40</f>
        <v>949.59999999999991</v>
      </c>
      <c r="D17" s="3">
        <f t="shared" si="1"/>
        <v>49379</v>
      </c>
      <c r="E17" s="3"/>
      <c r="F17" s="3"/>
      <c r="G17" s="3"/>
      <c r="H17" s="3"/>
      <c r="I17" s="3"/>
      <c r="J17" s="3"/>
      <c r="K17" s="3"/>
      <c r="L17" s="3">
        <f t="shared" si="0"/>
        <v>0</v>
      </c>
    </row>
    <row r="18" spans="1:12" x14ac:dyDescent="0.2">
      <c r="A18" s="416" t="s">
        <v>803</v>
      </c>
      <c r="B18" s="3">
        <v>52</v>
      </c>
      <c r="C18" s="3">
        <f>23.74*40</f>
        <v>949.59999999999991</v>
      </c>
      <c r="D18" s="3">
        <f>+B18*C18</f>
        <v>49379.199999999997</v>
      </c>
      <c r="E18" s="3"/>
      <c r="F18" s="3"/>
      <c r="G18" s="3"/>
      <c r="H18" s="3"/>
      <c r="I18" s="3"/>
      <c r="J18" s="3"/>
      <c r="K18" s="3"/>
      <c r="L18" s="3">
        <f t="shared" si="0"/>
        <v>0</v>
      </c>
    </row>
    <row r="19" spans="1:12" x14ac:dyDescent="0.2">
      <c r="A19" s="416" t="s">
        <v>2161</v>
      </c>
      <c r="B19" s="3"/>
      <c r="C19" s="3"/>
      <c r="D19" s="3">
        <v>5101</v>
      </c>
      <c r="E19" s="3"/>
      <c r="F19" s="3"/>
      <c r="G19" s="3"/>
      <c r="H19" s="3"/>
      <c r="I19" s="3"/>
      <c r="J19" s="3"/>
      <c r="K19" s="3"/>
      <c r="L19" s="3">
        <f t="shared" si="0"/>
        <v>0</v>
      </c>
    </row>
    <row r="20" spans="1:12" x14ac:dyDescent="0.2">
      <c r="A20" s="416" t="s">
        <v>2078</v>
      </c>
      <c r="B20" s="3">
        <v>480</v>
      </c>
      <c r="C20" s="3">
        <v>1</v>
      </c>
      <c r="D20" s="3">
        <f>ROUND(B20*C20,0)</f>
        <v>480</v>
      </c>
      <c r="E20" s="3"/>
      <c r="F20" s="3"/>
      <c r="G20" s="3"/>
      <c r="H20" s="3"/>
      <c r="I20" s="3"/>
      <c r="J20" s="3"/>
      <c r="K20" s="3"/>
      <c r="L20" s="3">
        <f t="shared" si="0"/>
        <v>0</v>
      </c>
    </row>
    <row r="21" spans="1:12" x14ac:dyDescent="0.2">
      <c r="A21" s="416" t="s">
        <v>1039</v>
      </c>
      <c r="B21" s="3"/>
      <c r="C21" s="15"/>
      <c r="D21" s="3">
        <v>1227</v>
      </c>
      <c r="E21" s="3"/>
      <c r="F21" s="3"/>
      <c r="G21" s="3"/>
      <c r="H21" s="3"/>
      <c r="I21" s="3"/>
      <c r="J21" s="3"/>
      <c r="K21" s="3"/>
      <c r="L21" s="3">
        <f t="shared" si="0"/>
        <v>0</v>
      </c>
    </row>
    <row r="22" spans="1:12" ht="15" x14ac:dyDescent="0.35">
      <c r="A22" s="416" t="s">
        <v>2518</v>
      </c>
      <c r="B22" s="3">
        <v>640</v>
      </c>
      <c r="C22" s="15">
        <f>+SUM(C11:C18)/40/8</f>
        <v>25.016250000000003</v>
      </c>
      <c r="D22" s="14">
        <f>ROUND(B22*C22,0)</f>
        <v>16010</v>
      </c>
      <c r="E22" s="3"/>
      <c r="F22" s="3"/>
      <c r="G22" s="3"/>
      <c r="H22" s="3"/>
      <c r="I22" s="3"/>
      <c r="J22" s="3"/>
      <c r="K22" s="3"/>
      <c r="L22" s="3">
        <f t="shared" si="0"/>
        <v>0</v>
      </c>
    </row>
    <row r="23" spans="1:12" x14ac:dyDescent="0.2">
      <c r="A23" s="416" t="s">
        <v>1320</v>
      </c>
      <c r="B23" s="3"/>
      <c r="C23" s="3"/>
      <c r="D23" s="3">
        <f>SUM(D11:D22)</f>
        <v>439087.2</v>
      </c>
      <c r="E23" s="3"/>
      <c r="F23" s="3"/>
      <c r="G23" s="3"/>
      <c r="H23" s="3"/>
      <c r="I23" s="3"/>
      <c r="J23" s="3"/>
      <c r="K23" s="3"/>
      <c r="L23" s="3">
        <f t="shared" si="0"/>
        <v>0</v>
      </c>
    </row>
    <row r="24" spans="1:12" x14ac:dyDescent="0.2">
      <c r="A24" s="416"/>
      <c r="B24" s="416"/>
      <c r="C24" s="491"/>
      <c r="D24" s="3"/>
      <c r="E24" s="3"/>
      <c r="F24" s="3"/>
      <c r="G24" s="3"/>
      <c r="H24" s="3"/>
      <c r="I24" s="3"/>
      <c r="J24" s="3"/>
      <c r="K24" s="3"/>
      <c r="L24" s="3">
        <f t="shared" si="0"/>
        <v>0</v>
      </c>
    </row>
    <row r="25" spans="1:12" ht="13.5" x14ac:dyDescent="0.25">
      <c r="A25" s="417" t="s">
        <v>804</v>
      </c>
      <c r="B25" s="416"/>
      <c r="C25" s="491"/>
      <c r="D25" s="3"/>
      <c r="E25" s="3">
        <v>14561</v>
      </c>
      <c r="F25" s="3">
        <v>3937</v>
      </c>
      <c r="G25" s="3">
        <v>3958</v>
      </c>
      <c r="H25" s="3">
        <v>3958</v>
      </c>
      <c r="I25" s="3">
        <v>3958</v>
      </c>
      <c r="J25" s="3"/>
      <c r="K25" s="3">
        <v>3937</v>
      </c>
      <c r="L25" s="3">
        <f t="shared" si="0"/>
        <v>-21</v>
      </c>
    </row>
    <row r="26" spans="1:12" x14ac:dyDescent="0.2">
      <c r="A26" s="416" t="s">
        <v>150</v>
      </c>
      <c r="B26" s="3">
        <v>88.21</v>
      </c>
      <c r="C26" s="15">
        <f>ROUND((((+C7)/40)*1.5),2)</f>
        <v>44.87</v>
      </c>
      <c r="D26" s="3">
        <f>ROUND(B26*C26,0)</f>
        <v>3958</v>
      </c>
      <c r="E26" s="3"/>
      <c r="F26" s="3"/>
      <c r="G26" s="3"/>
      <c r="H26" s="3"/>
      <c r="I26" s="3"/>
      <c r="J26" s="3"/>
      <c r="K26" s="3"/>
      <c r="L26" s="3">
        <f t="shared" si="0"/>
        <v>0</v>
      </c>
    </row>
    <row r="27" spans="1:12" x14ac:dyDescent="0.2">
      <c r="A27" s="416"/>
      <c r="B27" s="3"/>
      <c r="C27" s="15"/>
      <c r="D27" s="3"/>
      <c r="E27" s="3"/>
      <c r="F27" s="3"/>
      <c r="G27" s="3"/>
      <c r="H27" s="3"/>
      <c r="I27" s="3"/>
      <c r="J27" s="3"/>
      <c r="K27" s="3"/>
      <c r="L27" s="3">
        <f t="shared" si="0"/>
        <v>0</v>
      </c>
    </row>
    <row r="28" spans="1:12" ht="13.5" x14ac:dyDescent="0.25">
      <c r="A28" s="417" t="s">
        <v>156</v>
      </c>
      <c r="B28" s="60"/>
      <c r="C28" s="4"/>
      <c r="D28" s="4"/>
      <c r="E28" s="4">
        <v>19837</v>
      </c>
      <c r="F28" s="3">
        <v>38323</v>
      </c>
      <c r="G28" s="3">
        <v>42598</v>
      </c>
      <c r="H28" s="3">
        <v>42598</v>
      </c>
      <c r="I28" s="3">
        <v>42598</v>
      </c>
      <c r="J28" s="3"/>
      <c r="K28" s="3">
        <v>38323</v>
      </c>
      <c r="L28" s="3">
        <f t="shared" si="0"/>
        <v>-4275</v>
      </c>
    </row>
    <row r="29" spans="1:12" x14ac:dyDescent="0.2">
      <c r="A29" s="416" t="s">
        <v>1797</v>
      </c>
      <c r="B29" s="4">
        <v>800</v>
      </c>
      <c r="C29" s="63">
        <v>18.55</v>
      </c>
      <c r="D29" s="4">
        <f>ROUND(B29*C29,0)</f>
        <v>14840</v>
      </c>
      <c r="E29" s="3"/>
      <c r="F29" s="3"/>
      <c r="G29" s="3"/>
      <c r="H29" s="3"/>
      <c r="I29" s="3"/>
      <c r="J29" s="3"/>
      <c r="K29" s="3"/>
      <c r="L29" s="3">
        <f t="shared" si="0"/>
        <v>0</v>
      </c>
    </row>
    <row r="30" spans="1:12" x14ac:dyDescent="0.2">
      <c r="A30" s="416" t="s">
        <v>531</v>
      </c>
      <c r="B30" s="4">
        <v>1040</v>
      </c>
      <c r="C30" s="63">
        <v>26.69</v>
      </c>
      <c r="D30" s="72">
        <f>ROUND(B30*C30,0)</f>
        <v>27758</v>
      </c>
      <c r="E30" s="3"/>
      <c r="F30" s="3"/>
      <c r="G30" s="3"/>
      <c r="H30" s="3"/>
      <c r="I30" s="3"/>
      <c r="J30" s="3"/>
      <c r="K30" s="3"/>
      <c r="L30" s="3">
        <f t="shared" si="0"/>
        <v>0</v>
      </c>
    </row>
    <row r="31" spans="1:12" x14ac:dyDescent="0.2">
      <c r="A31" s="416"/>
      <c r="B31" s="4"/>
      <c r="C31" s="63"/>
      <c r="D31" s="4">
        <f>SUM(D29:D30)</f>
        <v>42598</v>
      </c>
      <c r="E31" s="3"/>
      <c r="F31" s="3"/>
      <c r="G31" s="3"/>
      <c r="H31" s="3"/>
      <c r="I31" s="3"/>
      <c r="J31" s="3"/>
      <c r="K31" s="3"/>
      <c r="L31" s="3">
        <f t="shared" si="0"/>
        <v>0</v>
      </c>
    </row>
    <row r="32" spans="1:12" x14ac:dyDescent="0.2">
      <c r="A32" s="416"/>
      <c r="B32" s="4"/>
      <c r="C32" s="4"/>
      <c r="D32" s="4"/>
      <c r="E32" s="3"/>
      <c r="F32" s="3"/>
      <c r="G32" s="3"/>
      <c r="H32" s="3"/>
      <c r="I32" s="3"/>
      <c r="J32" s="3"/>
      <c r="K32" s="3"/>
      <c r="L32" s="3">
        <f t="shared" si="0"/>
        <v>0</v>
      </c>
    </row>
    <row r="33" spans="1:12" ht="13.5" x14ac:dyDescent="0.25">
      <c r="A33" s="417" t="s">
        <v>985</v>
      </c>
      <c r="B33" s="416"/>
      <c r="C33" s="416"/>
      <c r="D33" s="3"/>
      <c r="E33" s="3">
        <v>79779</v>
      </c>
      <c r="F33" s="3">
        <v>30241</v>
      </c>
      <c r="G33" s="3">
        <v>31858</v>
      </c>
      <c r="H33" s="3">
        <v>31858</v>
      </c>
      <c r="I33" s="3">
        <v>31858</v>
      </c>
      <c r="J33" s="3"/>
      <c r="K33" s="3">
        <v>30241</v>
      </c>
      <c r="L33" s="3">
        <f t="shared" si="0"/>
        <v>-1617</v>
      </c>
    </row>
    <row r="34" spans="1:12" x14ac:dyDescent="0.2">
      <c r="A34" s="416" t="s">
        <v>986</v>
      </c>
      <c r="B34" s="3" t="s">
        <v>418</v>
      </c>
      <c r="C34" s="15" t="s">
        <v>418</v>
      </c>
      <c r="D34" s="3" t="s">
        <v>418</v>
      </c>
      <c r="E34" s="3"/>
      <c r="F34" s="3"/>
      <c r="G34" s="3"/>
      <c r="H34" s="3"/>
      <c r="I34" s="3"/>
      <c r="J34" s="3"/>
      <c r="K34" s="3"/>
      <c r="L34" s="3">
        <f t="shared" si="0"/>
        <v>0</v>
      </c>
    </row>
    <row r="35" spans="1:12" ht="15.6" customHeight="1" x14ac:dyDescent="0.2">
      <c r="A35" s="416" t="s">
        <v>987</v>
      </c>
      <c r="B35" s="3">
        <v>849</v>
      </c>
      <c r="C35" s="15">
        <f>+C22*1.5</f>
        <v>37.524375000000006</v>
      </c>
      <c r="D35" s="4">
        <f>ROUND(B35*C35,0)</f>
        <v>31858</v>
      </c>
      <c r="E35" s="3"/>
      <c r="F35" s="3"/>
      <c r="G35" s="3"/>
      <c r="H35" s="3"/>
      <c r="I35" s="3"/>
      <c r="J35" s="3"/>
      <c r="K35" s="3"/>
      <c r="L35" s="3">
        <f t="shared" si="0"/>
        <v>0</v>
      </c>
    </row>
    <row r="36" spans="1:12" x14ac:dyDescent="0.2">
      <c r="A36" s="416"/>
      <c r="B36" s="3"/>
      <c r="C36" s="15"/>
      <c r="D36" s="3"/>
      <c r="E36" s="3"/>
      <c r="F36" s="3"/>
      <c r="G36" s="3"/>
      <c r="H36" s="3"/>
      <c r="I36" s="3"/>
      <c r="J36" s="3"/>
      <c r="K36" s="3"/>
      <c r="L36" s="3">
        <f t="shared" si="0"/>
        <v>0</v>
      </c>
    </row>
    <row r="37" spans="1:12" ht="13.5" x14ac:dyDescent="0.25">
      <c r="A37" s="417" t="s">
        <v>988</v>
      </c>
      <c r="B37" s="416"/>
      <c r="C37" s="416"/>
      <c r="D37" s="3"/>
      <c r="E37" s="3">
        <v>37543</v>
      </c>
      <c r="F37" s="3">
        <v>41669</v>
      </c>
      <c r="G37" s="3">
        <v>44348</v>
      </c>
      <c r="H37" s="3">
        <v>44348</v>
      </c>
      <c r="I37" s="3">
        <v>44348</v>
      </c>
      <c r="J37" s="3"/>
      <c r="K37" s="3">
        <v>41669</v>
      </c>
      <c r="L37" s="3">
        <f t="shared" si="0"/>
        <v>-2679</v>
      </c>
    </row>
    <row r="38" spans="1:12" hidden="1" x14ac:dyDescent="0.2">
      <c r="A38" s="16" t="s">
        <v>1536</v>
      </c>
      <c r="B38" s="3">
        <f>+D7</f>
        <v>62213</v>
      </c>
      <c r="C38" s="17">
        <v>7.6499999999999999E-2</v>
      </c>
      <c r="D38" s="3">
        <f>ROUND(B38*C38,0)</f>
        <v>4759</v>
      </c>
      <c r="E38" s="3"/>
      <c r="F38" s="3"/>
      <c r="G38" s="3"/>
      <c r="H38" s="3"/>
      <c r="I38" s="3"/>
      <c r="J38" s="3"/>
      <c r="K38" s="3"/>
      <c r="L38" s="3">
        <f t="shared" si="0"/>
        <v>0</v>
      </c>
    </row>
    <row r="39" spans="1:12" hidden="1" x14ac:dyDescent="0.2">
      <c r="A39" s="16" t="s">
        <v>883</v>
      </c>
      <c r="B39" s="3">
        <f>+D23</f>
        <v>439087.2</v>
      </c>
      <c r="C39" s="17">
        <v>7.6499999999999999E-2</v>
      </c>
      <c r="D39" s="3">
        <f>ROUND(B39*C39,0)</f>
        <v>33590</v>
      </c>
      <c r="E39" s="3"/>
      <c r="F39" s="3"/>
      <c r="G39" s="3"/>
      <c r="H39" s="3"/>
      <c r="I39" s="3"/>
      <c r="J39" s="3"/>
      <c r="K39" s="3"/>
      <c r="L39" s="3">
        <f t="shared" si="0"/>
        <v>0</v>
      </c>
    </row>
    <row r="40" spans="1:12" hidden="1" x14ac:dyDescent="0.2">
      <c r="A40" s="16" t="s">
        <v>966</v>
      </c>
      <c r="B40" s="3">
        <f>+D26</f>
        <v>3958</v>
      </c>
      <c r="C40" s="17">
        <v>7.6499999999999999E-2</v>
      </c>
      <c r="D40" s="3">
        <f>ROUND(B40*C40,0)</f>
        <v>303</v>
      </c>
      <c r="E40" s="3"/>
      <c r="F40" s="3"/>
      <c r="G40" s="3"/>
      <c r="H40" s="3"/>
      <c r="I40" s="3"/>
      <c r="J40" s="3"/>
      <c r="K40" s="3"/>
      <c r="L40" s="3">
        <f t="shared" si="0"/>
        <v>0</v>
      </c>
    </row>
    <row r="41" spans="1:12" hidden="1" x14ac:dyDescent="0.2">
      <c r="A41" s="16" t="s">
        <v>196</v>
      </c>
      <c r="B41" s="3">
        <f>+D31</f>
        <v>42598</v>
      </c>
      <c r="C41" s="17">
        <v>7.6499999999999999E-2</v>
      </c>
      <c r="D41" s="3">
        <f>ROUND(B41*C41,0)</f>
        <v>3259</v>
      </c>
      <c r="E41" s="3"/>
      <c r="F41" s="3"/>
      <c r="G41" s="3"/>
      <c r="H41" s="3"/>
      <c r="I41" s="3"/>
      <c r="J41" s="3"/>
      <c r="K41" s="3"/>
      <c r="L41" s="3">
        <f t="shared" si="0"/>
        <v>0</v>
      </c>
    </row>
    <row r="42" spans="1:12" ht="15" hidden="1" x14ac:dyDescent="0.35">
      <c r="A42" s="16" t="s">
        <v>197</v>
      </c>
      <c r="B42" s="3">
        <f>+D35</f>
        <v>31858</v>
      </c>
      <c r="C42" s="17">
        <v>7.6499999999999999E-2</v>
      </c>
      <c r="D42" s="14">
        <f>ROUND(B42*C42,0)</f>
        <v>2437</v>
      </c>
      <c r="E42" s="3"/>
      <c r="F42" s="3"/>
      <c r="G42" s="3"/>
      <c r="H42" s="3"/>
      <c r="I42" s="3"/>
      <c r="J42" s="3"/>
      <c r="K42" s="3"/>
      <c r="L42" s="3">
        <f t="shared" ref="L42:L73" si="2">+K42-G42</f>
        <v>0</v>
      </c>
    </row>
    <row r="43" spans="1:12" hidden="1" x14ac:dyDescent="0.2">
      <c r="A43" s="416" t="s">
        <v>1320</v>
      </c>
      <c r="B43" s="416"/>
      <c r="C43" s="416"/>
      <c r="D43" s="3">
        <f>SUM(D38:D42)</f>
        <v>44348</v>
      </c>
      <c r="E43" s="3"/>
      <c r="F43" s="3"/>
      <c r="G43" s="3"/>
      <c r="H43" s="3"/>
      <c r="I43" s="3"/>
      <c r="J43" s="3"/>
      <c r="K43" s="3"/>
      <c r="L43" s="3">
        <f t="shared" si="2"/>
        <v>0</v>
      </c>
    </row>
    <row r="44" spans="1:12" x14ac:dyDescent="0.2">
      <c r="A44" s="416"/>
      <c r="B44" s="416"/>
      <c r="C44" s="416"/>
      <c r="D44" s="3"/>
      <c r="E44" s="3"/>
      <c r="F44" s="3"/>
      <c r="G44" s="3"/>
      <c r="H44" s="3"/>
      <c r="I44" s="3"/>
      <c r="J44" s="3"/>
      <c r="K44" s="3"/>
      <c r="L44" s="3">
        <f t="shared" si="2"/>
        <v>0</v>
      </c>
    </row>
    <row r="45" spans="1:12" ht="13.5" x14ac:dyDescent="0.25">
      <c r="A45" s="18" t="s">
        <v>1126</v>
      </c>
      <c r="B45" s="491"/>
      <c r="C45" s="491"/>
      <c r="D45" s="3"/>
      <c r="E45" s="3">
        <v>66366</v>
      </c>
      <c r="F45" s="3">
        <v>71196</v>
      </c>
      <c r="G45" s="3">
        <v>72672</v>
      </c>
      <c r="H45" s="3">
        <v>72672</v>
      </c>
      <c r="I45" s="3">
        <v>72672</v>
      </c>
      <c r="J45" s="3"/>
      <c r="K45" s="3">
        <v>71196</v>
      </c>
      <c r="L45" s="3">
        <f t="shared" si="2"/>
        <v>-1476</v>
      </c>
    </row>
    <row r="46" spans="1:12" hidden="1" x14ac:dyDescent="0.2">
      <c r="A46" s="16" t="s">
        <v>1536</v>
      </c>
      <c r="B46" s="3">
        <f>+B38+B40</f>
        <v>66171</v>
      </c>
      <c r="C46" s="507">
        <v>0.1353</v>
      </c>
      <c r="D46" s="3">
        <f>ROUND(B46*C46,0)</f>
        <v>8953</v>
      </c>
      <c r="E46" s="3"/>
      <c r="F46" s="3"/>
      <c r="G46" s="3"/>
      <c r="H46" s="3"/>
      <c r="I46" s="3"/>
      <c r="J46" s="3"/>
      <c r="K46" s="3"/>
      <c r="L46" s="3">
        <f t="shared" si="2"/>
        <v>0</v>
      </c>
    </row>
    <row r="47" spans="1:12" ht="15" hidden="1" x14ac:dyDescent="0.35">
      <c r="A47" s="491" t="s">
        <v>1445</v>
      </c>
      <c r="B47" s="3">
        <f>+D23+D35</f>
        <v>470945.2</v>
      </c>
      <c r="C47" s="507">
        <v>0.1353</v>
      </c>
      <c r="D47" s="14">
        <f>ROUND(B47*C47,0)</f>
        <v>63719</v>
      </c>
      <c r="E47" s="3"/>
      <c r="F47" s="3"/>
      <c r="G47" s="3"/>
      <c r="H47" s="3"/>
      <c r="I47" s="3"/>
      <c r="J47" s="3"/>
      <c r="K47" s="3"/>
      <c r="L47" s="3">
        <f t="shared" si="2"/>
        <v>0</v>
      </c>
    </row>
    <row r="48" spans="1:12" hidden="1" x14ac:dyDescent="0.2">
      <c r="A48" s="491" t="s">
        <v>1320</v>
      </c>
      <c r="B48" s="491"/>
      <c r="C48" s="491"/>
      <c r="D48" s="3">
        <f>SUM(D46:D47)</f>
        <v>72672</v>
      </c>
      <c r="E48" s="3"/>
      <c r="F48" s="3"/>
      <c r="G48" s="3"/>
      <c r="H48" s="3"/>
      <c r="I48" s="3"/>
      <c r="J48" s="3"/>
      <c r="K48" s="3"/>
      <c r="L48" s="3">
        <f t="shared" si="2"/>
        <v>0</v>
      </c>
    </row>
    <row r="49" spans="1:12" x14ac:dyDescent="0.2">
      <c r="A49" s="491"/>
      <c r="B49" s="491"/>
      <c r="C49" s="491"/>
      <c r="D49" s="3"/>
      <c r="E49" s="3"/>
      <c r="F49" s="3"/>
      <c r="G49" s="3"/>
      <c r="H49" s="3"/>
      <c r="I49" s="3"/>
      <c r="J49" s="3"/>
      <c r="K49" s="3"/>
      <c r="L49" s="3">
        <f t="shared" si="2"/>
        <v>0</v>
      </c>
    </row>
    <row r="50" spans="1:12" ht="13.5" x14ac:dyDescent="0.25">
      <c r="A50" s="494" t="s">
        <v>1201</v>
      </c>
      <c r="B50" s="491"/>
      <c r="C50" s="491"/>
      <c r="D50" s="3"/>
      <c r="E50" s="3">
        <v>130729</v>
      </c>
      <c r="F50" s="3">
        <v>171000</v>
      </c>
      <c r="G50" s="3">
        <v>182250</v>
      </c>
      <c r="H50" s="3">
        <v>182250</v>
      </c>
      <c r="I50" s="3">
        <v>182250</v>
      </c>
      <c r="J50" s="3"/>
      <c r="K50" s="3">
        <v>175500</v>
      </c>
      <c r="L50" s="3">
        <f t="shared" si="2"/>
        <v>-6750</v>
      </c>
    </row>
    <row r="51" spans="1:12" hidden="1" x14ac:dyDescent="0.2">
      <c r="A51" s="491" t="s">
        <v>1803</v>
      </c>
      <c r="B51" s="3">
        <v>1</v>
      </c>
      <c r="C51" s="3">
        <v>20250</v>
      </c>
      <c r="D51" s="3">
        <f>ROUND(B51*C51,0)</f>
        <v>20250</v>
      </c>
      <c r="E51" s="3"/>
      <c r="F51" s="3"/>
      <c r="G51" s="3"/>
      <c r="H51" s="3"/>
      <c r="I51" s="3"/>
      <c r="J51" s="3"/>
      <c r="K51" s="3"/>
      <c r="L51" s="3">
        <f t="shared" si="2"/>
        <v>0</v>
      </c>
    </row>
    <row r="52" spans="1:12" ht="15" hidden="1" x14ac:dyDescent="0.35">
      <c r="A52" s="491" t="s">
        <v>1804</v>
      </c>
      <c r="B52" s="3">
        <v>8</v>
      </c>
      <c r="C52" s="3">
        <v>20250</v>
      </c>
      <c r="D52" s="14">
        <f>ROUND(B52*C52,0)</f>
        <v>162000</v>
      </c>
      <c r="E52" s="3"/>
      <c r="F52" s="3"/>
      <c r="G52" s="3"/>
      <c r="H52" s="3"/>
      <c r="I52" s="3"/>
      <c r="J52" s="3"/>
      <c r="K52" s="3"/>
      <c r="L52" s="3">
        <f t="shared" si="2"/>
        <v>0</v>
      </c>
    </row>
    <row r="53" spans="1:12" hidden="1" x14ac:dyDescent="0.2">
      <c r="A53" s="491" t="s">
        <v>877</v>
      </c>
      <c r="B53" s="3"/>
      <c r="C53" s="3"/>
      <c r="D53" s="3">
        <f>SUM(D51:D52)</f>
        <v>182250</v>
      </c>
      <c r="E53" s="3"/>
      <c r="F53" s="3"/>
      <c r="G53" s="3"/>
      <c r="H53" s="3"/>
      <c r="I53" s="3"/>
      <c r="J53" s="3"/>
      <c r="K53" s="3"/>
      <c r="L53" s="3">
        <f t="shared" si="2"/>
        <v>0</v>
      </c>
    </row>
    <row r="54" spans="1:12" x14ac:dyDescent="0.2">
      <c r="A54" s="491"/>
      <c r="B54" s="491"/>
      <c r="C54" s="491"/>
      <c r="D54" s="3"/>
      <c r="E54" s="3"/>
      <c r="F54" s="3"/>
      <c r="G54" s="3"/>
      <c r="H54" s="3"/>
      <c r="I54" s="3"/>
      <c r="J54" s="3"/>
      <c r="K54" s="3"/>
      <c r="L54" s="3">
        <f t="shared" si="2"/>
        <v>0</v>
      </c>
    </row>
    <row r="55" spans="1:12" ht="13.5" x14ac:dyDescent="0.25">
      <c r="A55" s="494" t="s">
        <v>204</v>
      </c>
      <c r="B55" s="491"/>
      <c r="C55" s="491"/>
      <c r="D55" s="3"/>
      <c r="E55" s="3">
        <v>8611</v>
      </c>
      <c r="F55" s="3">
        <v>11413</v>
      </c>
      <c r="G55" s="3">
        <v>11413</v>
      </c>
      <c r="H55" s="3">
        <v>11413</v>
      </c>
      <c r="I55" s="3">
        <v>11413</v>
      </c>
      <c r="J55" s="3"/>
      <c r="K55" s="3">
        <v>11413</v>
      </c>
      <c r="L55" s="3">
        <f t="shared" si="2"/>
        <v>0</v>
      </c>
    </row>
    <row r="56" spans="1:12" hidden="1" x14ac:dyDescent="0.2">
      <c r="A56" s="491" t="s">
        <v>322</v>
      </c>
      <c r="B56" s="3">
        <v>1</v>
      </c>
      <c r="C56" s="3">
        <v>1375</v>
      </c>
      <c r="D56" s="3">
        <f>ROUND(B56*C56,0)</f>
        <v>1375</v>
      </c>
      <c r="E56" s="3"/>
      <c r="F56" s="3"/>
      <c r="G56" s="3"/>
      <c r="H56" s="3"/>
      <c r="I56" s="3"/>
      <c r="J56" s="3"/>
      <c r="K56" s="3"/>
      <c r="L56" s="3">
        <f t="shared" si="2"/>
        <v>0</v>
      </c>
    </row>
    <row r="57" spans="1:12" hidden="1" x14ac:dyDescent="0.2">
      <c r="A57" s="491" t="s">
        <v>641</v>
      </c>
      <c r="B57" s="3">
        <v>8</v>
      </c>
      <c r="C57" s="3">
        <v>1375</v>
      </c>
      <c r="D57" s="3">
        <f>ROUND(B57*C57,0)</f>
        <v>11000</v>
      </c>
      <c r="E57" s="3"/>
      <c r="F57" s="3"/>
      <c r="G57" s="3"/>
      <c r="H57" s="3"/>
      <c r="I57" s="3"/>
      <c r="J57" s="3"/>
      <c r="K57" s="3"/>
      <c r="L57" s="3">
        <f t="shared" si="2"/>
        <v>0</v>
      </c>
    </row>
    <row r="58" spans="1:12" hidden="1" x14ac:dyDescent="0.2">
      <c r="A58" s="491" t="s">
        <v>642</v>
      </c>
      <c r="B58" s="3"/>
      <c r="C58" s="3"/>
      <c r="D58" s="21">
        <f>+C57*-0.1*7</f>
        <v>-962.5</v>
      </c>
      <c r="E58" s="3"/>
      <c r="F58" s="3"/>
      <c r="G58" s="3"/>
      <c r="H58" s="3"/>
      <c r="I58" s="3"/>
      <c r="J58" s="3"/>
      <c r="K58" s="3"/>
      <c r="L58" s="3">
        <f t="shared" si="2"/>
        <v>0</v>
      </c>
    </row>
    <row r="59" spans="1:12" hidden="1" x14ac:dyDescent="0.2">
      <c r="A59" s="491" t="s">
        <v>877</v>
      </c>
      <c r="B59" s="3"/>
      <c r="C59" s="3"/>
      <c r="D59" s="3">
        <f>SUM(D56:D58)</f>
        <v>11412.5</v>
      </c>
      <c r="E59" s="3"/>
      <c r="F59" s="3"/>
      <c r="G59" s="3"/>
      <c r="H59" s="3"/>
      <c r="I59" s="3"/>
      <c r="J59" s="3"/>
      <c r="K59" s="3"/>
      <c r="L59" s="3">
        <f t="shared" si="2"/>
        <v>0</v>
      </c>
    </row>
    <row r="60" spans="1:12" x14ac:dyDescent="0.2">
      <c r="A60" s="491"/>
      <c r="B60" s="491"/>
      <c r="C60" s="491"/>
      <c r="D60" s="3"/>
      <c r="E60" s="3"/>
      <c r="F60" s="3"/>
      <c r="G60" s="3"/>
      <c r="H60" s="3"/>
      <c r="I60" s="3"/>
      <c r="J60" s="3"/>
      <c r="K60" s="3"/>
      <c r="L60" s="3">
        <f t="shared" si="2"/>
        <v>0</v>
      </c>
    </row>
    <row r="61" spans="1:12" ht="13.5" x14ac:dyDescent="0.25">
      <c r="A61" s="494" t="s">
        <v>205</v>
      </c>
      <c r="B61" s="491"/>
      <c r="C61" s="491"/>
      <c r="D61" s="3"/>
      <c r="E61" s="3">
        <v>827</v>
      </c>
      <c r="F61" s="3">
        <v>1215</v>
      </c>
      <c r="G61" s="3">
        <v>1305</v>
      </c>
      <c r="H61" s="3">
        <v>1305</v>
      </c>
      <c r="I61" s="3">
        <v>1305</v>
      </c>
      <c r="J61" s="3"/>
      <c r="K61" s="3">
        <v>1215</v>
      </c>
      <c r="L61" s="3">
        <f t="shared" si="2"/>
        <v>-90</v>
      </c>
    </row>
    <row r="62" spans="1:12" hidden="1" x14ac:dyDescent="0.2">
      <c r="A62" s="16" t="s">
        <v>1536</v>
      </c>
      <c r="B62" s="3">
        <v>1</v>
      </c>
      <c r="C62" s="3">
        <v>145</v>
      </c>
      <c r="D62" s="3">
        <f>ROUND(B62*C62,0)</f>
        <v>145</v>
      </c>
      <c r="E62" s="3"/>
      <c r="F62" s="3"/>
      <c r="G62" s="3"/>
      <c r="H62" s="3"/>
      <c r="I62" s="3"/>
      <c r="J62" s="3"/>
      <c r="K62" s="3"/>
      <c r="L62" s="3">
        <f t="shared" si="2"/>
        <v>0</v>
      </c>
    </row>
    <row r="63" spans="1:12" ht="15" hidden="1" x14ac:dyDescent="0.35">
      <c r="A63" s="16" t="s">
        <v>883</v>
      </c>
      <c r="B63" s="3">
        <v>8</v>
      </c>
      <c r="C63" s="3">
        <v>145</v>
      </c>
      <c r="D63" s="14">
        <f>ROUND(B63*C63,0)</f>
        <v>1160</v>
      </c>
      <c r="E63" s="3"/>
      <c r="F63" s="3"/>
      <c r="G63" s="3"/>
      <c r="H63" s="3"/>
      <c r="I63" s="3"/>
      <c r="J63" s="3"/>
      <c r="K63" s="3"/>
      <c r="L63" s="3">
        <f t="shared" si="2"/>
        <v>0</v>
      </c>
    </row>
    <row r="64" spans="1:12" hidden="1" x14ac:dyDescent="0.2">
      <c r="A64" s="491" t="s">
        <v>1320</v>
      </c>
      <c r="B64" s="3"/>
      <c r="C64" s="3"/>
      <c r="D64" s="3">
        <f>SUM(D62:D63)</f>
        <v>1305</v>
      </c>
      <c r="E64" s="3"/>
      <c r="F64" s="3"/>
      <c r="G64" s="3"/>
      <c r="H64" s="3"/>
      <c r="I64" s="3"/>
      <c r="J64" s="3"/>
      <c r="K64" s="3"/>
      <c r="L64" s="3">
        <f t="shared" si="2"/>
        <v>0</v>
      </c>
    </row>
    <row r="65" spans="1:12" x14ac:dyDescent="0.2">
      <c r="A65" s="491"/>
      <c r="B65" s="491"/>
      <c r="C65" s="491"/>
      <c r="D65" s="3"/>
      <c r="E65" s="3"/>
      <c r="F65" s="3"/>
      <c r="G65" s="3"/>
      <c r="H65" s="3"/>
      <c r="I65" s="3"/>
      <c r="J65" s="3"/>
      <c r="K65" s="3"/>
      <c r="L65" s="3">
        <f t="shared" si="2"/>
        <v>0</v>
      </c>
    </row>
    <row r="66" spans="1:12" ht="13.5" x14ac:dyDescent="0.25">
      <c r="A66" s="494" t="s">
        <v>206</v>
      </c>
      <c r="B66" s="491"/>
      <c r="C66" s="491"/>
      <c r="D66" s="3"/>
      <c r="E66" s="3">
        <v>3506</v>
      </c>
      <c r="F66" s="3">
        <v>4725</v>
      </c>
      <c r="G66" s="3">
        <v>5085</v>
      </c>
      <c r="H66" s="3">
        <v>5085</v>
      </c>
      <c r="I66" s="3">
        <v>5085</v>
      </c>
      <c r="J66" s="3"/>
      <c r="K66" s="3">
        <v>4725</v>
      </c>
      <c r="L66" s="3">
        <f t="shared" si="2"/>
        <v>-360</v>
      </c>
    </row>
    <row r="67" spans="1:12" hidden="1" x14ac:dyDescent="0.2">
      <c r="A67" s="16" t="s">
        <v>1536</v>
      </c>
      <c r="B67" s="3">
        <v>1</v>
      </c>
      <c r="C67" s="3">
        <v>565</v>
      </c>
      <c r="D67" s="3">
        <f>ROUND(B67*C67,0)</f>
        <v>565</v>
      </c>
      <c r="E67" s="3"/>
      <c r="F67" s="3"/>
      <c r="G67" s="3"/>
      <c r="H67" s="3"/>
      <c r="I67" s="3"/>
      <c r="J67" s="3"/>
      <c r="K67" s="3"/>
      <c r="L67" s="3">
        <f t="shared" si="2"/>
        <v>0</v>
      </c>
    </row>
    <row r="68" spans="1:12" ht="15" hidden="1" x14ac:dyDescent="0.35">
      <c r="A68" s="16" t="s">
        <v>883</v>
      </c>
      <c r="B68" s="3">
        <v>8</v>
      </c>
      <c r="C68" s="3">
        <v>565</v>
      </c>
      <c r="D68" s="14">
        <f>ROUND(B68*C68,0)</f>
        <v>4520</v>
      </c>
      <c r="E68" s="3"/>
      <c r="F68" s="3"/>
      <c r="G68" s="3"/>
      <c r="H68" s="3"/>
      <c r="I68" s="3"/>
      <c r="J68" s="3"/>
      <c r="K68" s="3"/>
      <c r="L68" s="3">
        <f t="shared" si="2"/>
        <v>0</v>
      </c>
    </row>
    <row r="69" spans="1:12" hidden="1" x14ac:dyDescent="0.2">
      <c r="A69" s="491" t="s">
        <v>1320</v>
      </c>
      <c r="B69" s="3"/>
      <c r="C69" s="3"/>
      <c r="D69" s="3">
        <f>SUM(D67:D68)</f>
        <v>5085</v>
      </c>
      <c r="E69" s="3"/>
      <c r="F69" s="3"/>
      <c r="G69" s="3"/>
      <c r="H69" s="3"/>
      <c r="I69" s="3"/>
      <c r="J69" s="3"/>
      <c r="K69" s="3"/>
      <c r="L69" s="3">
        <f t="shared" si="2"/>
        <v>0</v>
      </c>
    </row>
    <row r="70" spans="1:12" x14ac:dyDescent="0.2">
      <c r="A70" s="491"/>
      <c r="B70" s="491"/>
      <c r="C70" s="491"/>
      <c r="D70" s="491"/>
      <c r="E70" s="3"/>
      <c r="F70" s="3"/>
      <c r="G70" s="3"/>
      <c r="H70" s="3"/>
      <c r="I70" s="3"/>
      <c r="J70" s="3"/>
      <c r="K70" s="3"/>
      <c r="L70" s="3">
        <f t="shared" si="2"/>
        <v>0</v>
      </c>
    </row>
    <row r="71" spans="1:12" ht="13.5" x14ac:dyDescent="0.25">
      <c r="A71" s="494" t="s">
        <v>207</v>
      </c>
      <c r="B71" s="224"/>
      <c r="C71" s="491"/>
      <c r="D71" s="491"/>
      <c r="E71" s="3">
        <v>694</v>
      </c>
      <c r="F71" s="3">
        <v>951</v>
      </c>
      <c r="G71" s="3">
        <v>1109</v>
      </c>
      <c r="H71" s="3">
        <v>1096</v>
      </c>
      <c r="I71" s="3">
        <v>1096</v>
      </c>
      <c r="J71" s="3"/>
      <c r="K71" s="3">
        <v>951</v>
      </c>
      <c r="L71" s="3">
        <f t="shared" si="2"/>
        <v>-158</v>
      </c>
    </row>
    <row r="72" spans="1:12" hidden="1" x14ac:dyDescent="0.2">
      <c r="A72" s="16" t="s">
        <v>1536</v>
      </c>
      <c r="B72" s="3">
        <f>+B38</f>
        <v>62213</v>
      </c>
      <c r="C72" s="17">
        <v>1.89E-3</v>
      </c>
      <c r="D72" s="3">
        <f>ROUND(B72*C72,0)</f>
        <v>118</v>
      </c>
      <c r="E72" s="3"/>
      <c r="F72" s="3"/>
      <c r="G72" s="3"/>
      <c r="H72" s="3"/>
      <c r="I72" s="3"/>
      <c r="J72" s="3"/>
      <c r="K72" s="3"/>
      <c r="L72" s="3">
        <f t="shared" si="2"/>
        <v>0</v>
      </c>
    </row>
    <row r="73" spans="1:12" hidden="1" x14ac:dyDescent="0.2">
      <c r="A73" s="16" t="s">
        <v>883</v>
      </c>
      <c r="B73" s="3">
        <f>+D23</f>
        <v>439087.2</v>
      </c>
      <c r="C73" s="17">
        <v>1.89E-3</v>
      </c>
      <c r="D73" s="3">
        <f>ROUND(B73*C73,0)</f>
        <v>830</v>
      </c>
      <c r="E73" s="3"/>
      <c r="F73" s="3"/>
      <c r="G73" s="3"/>
      <c r="H73" s="3"/>
      <c r="I73" s="3"/>
      <c r="J73" s="3"/>
      <c r="K73" s="3"/>
      <c r="L73" s="3">
        <f t="shared" si="2"/>
        <v>0</v>
      </c>
    </row>
    <row r="74" spans="1:12" hidden="1" x14ac:dyDescent="0.2">
      <c r="A74" s="16" t="s">
        <v>1925</v>
      </c>
      <c r="B74" s="3">
        <f>+D26</f>
        <v>3958</v>
      </c>
      <c r="C74" s="17">
        <v>1.89E-3</v>
      </c>
      <c r="D74" s="3">
        <f>ROUND(B74*C74,0)</f>
        <v>7</v>
      </c>
      <c r="E74" s="491"/>
      <c r="F74" s="3"/>
      <c r="G74" s="3"/>
      <c r="H74" s="3"/>
      <c r="I74" s="3"/>
      <c r="J74" s="3"/>
      <c r="K74" s="3"/>
      <c r="L74" s="3">
        <f t="shared" ref="L74:L79" si="3">+K74-G74</f>
        <v>0</v>
      </c>
    </row>
    <row r="75" spans="1:12" hidden="1" x14ac:dyDescent="0.2">
      <c r="A75" s="16" t="s">
        <v>196</v>
      </c>
      <c r="B75" s="3">
        <f>+D31</f>
        <v>42598</v>
      </c>
      <c r="C75" s="17">
        <v>1.89E-3</v>
      </c>
      <c r="D75" s="3">
        <f>ROUND(B75*C75,0)</f>
        <v>81</v>
      </c>
      <c r="E75" s="3"/>
      <c r="F75" s="3"/>
      <c r="G75" s="3"/>
      <c r="H75" s="3"/>
      <c r="I75" s="3"/>
      <c r="J75" s="3"/>
      <c r="K75" s="3"/>
      <c r="L75" s="3">
        <f t="shared" si="3"/>
        <v>0</v>
      </c>
    </row>
    <row r="76" spans="1:12" ht="15" hidden="1" x14ac:dyDescent="0.35">
      <c r="A76" s="16" t="s">
        <v>1926</v>
      </c>
      <c r="B76" s="3">
        <f>ROUND(D35,0)</f>
        <v>31858</v>
      </c>
      <c r="C76" s="17">
        <v>1.89E-3</v>
      </c>
      <c r="D76" s="14">
        <f>ROUND(B76*C76,0)</f>
        <v>60</v>
      </c>
      <c r="E76" s="3"/>
      <c r="F76" s="3"/>
      <c r="G76" s="3"/>
      <c r="H76" s="3"/>
      <c r="I76" s="3"/>
      <c r="J76" s="3"/>
      <c r="K76" s="3"/>
      <c r="L76" s="3">
        <f t="shared" si="3"/>
        <v>0</v>
      </c>
    </row>
    <row r="77" spans="1:12" hidden="1" x14ac:dyDescent="0.2">
      <c r="A77" s="491" t="s">
        <v>1320</v>
      </c>
      <c r="B77" s="491"/>
      <c r="C77" s="491"/>
      <c r="D77" s="3">
        <f>SUM(D72:D76)</f>
        <v>1096</v>
      </c>
      <c r="E77" s="3"/>
      <c r="F77" s="3"/>
      <c r="G77" s="3"/>
      <c r="H77" s="3"/>
      <c r="I77" s="3"/>
      <c r="J77" s="3"/>
      <c r="K77" s="3"/>
      <c r="L77" s="3">
        <f t="shared" si="3"/>
        <v>0</v>
      </c>
    </row>
    <row r="78" spans="1:12" x14ac:dyDescent="0.2">
      <c r="A78" s="491"/>
      <c r="B78" s="491"/>
      <c r="C78" s="491"/>
      <c r="D78" s="491"/>
      <c r="E78" s="3"/>
      <c r="F78" s="3"/>
      <c r="G78" s="3"/>
      <c r="H78" s="3"/>
      <c r="I78" s="3"/>
      <c r="J78" s="3"/>
      <c r="K78" s="3"/>
      <c r="L78" s="3">
        <f t="shared" si="3"/>
        <v>0</v>
      </c>
    </row>
    <row r="79" spans="1:12" ht="13.5" x14ac:dyDescent="0.25">
      <c r="A79" s="494" t="s">
        <v>1421</v>
      </c>
      <c r="B79" s="491"/>
      <c r="C79" s="491"/>
      <c r="D79" s="3"/>
      <c r="E79" s="3">
        <v>144</v>
      </c>
      <c r="F79" s="3">
        <v>181</v>
      </c>
      <c r="G79" s="3">
        <v>181</v>
      </c>
      <c r="H79" s="3">
        <v>181</v>
      </c>
      <c r="I79" s="3">
        <v>181</v>
      </c>
      <c r="J79" s="3"/>
      <c r="K79" s="3">
        <v>181</v>
      </c>
      <c r="L79" s="3">
        <f t="shared" si="3"/>
        <v>0</v>
      </c>
    </row>
    <row r="80" spans="1:12" hidden="1" x14ac:dyDescent="0.2">
      <c r="A80" s="16" t="s">
        <v>1536</v>
      </c>
      <c r="B80" s="3">
        <v>1</v>
      </c>
      <c r="C80" s="3">
        <v>20</v>
      </c>
      <c r="D80" s="3">
        <f>ROUND(B80*C80,0)</f>
        <v>20</v>
      </c>
      <c r="E80" s="3"/>
      <c r="F80" s="3"/>
      <c r="G80" s="3"/>
      <c r="H80" s="3"/>
      <c r="I80" s="3"/>
      <c r="J80" s="3"/>
    </row>
    <row r="81" spans="1:10" hidden="1" x14ac:dyDescent="0.2">
      <c r="A81" s="16" t="s">
        <v>883</v>
      </c>
      <c r="B81" s="3">
        <v>7</v>
      </c>
      <c r="C81" s="3">
        <v>20</v>
      </c>
      <c r="D81" s="3">
        <f>ROUND(B81*C81,0)</f>
        <v>140</v>
      </c>
      <c r="E81" s="3"/>
      <c r="F81" s="3"/>
      <c r="G81" s="3"/>
      <c r="H81" s="3"/>
      <c r="I81" s="3"/>
      <c r="J81" s="3"/>
    </row>
    <row r="82" spans="1:10" ht="15" hidden="1" x14ac:dyDescent="0.35">
      <c r="A82" s="16" t="s">
        <v>196</v>
      </c>
      <c r="B82" s="3">
        <f>+D29</f>
        <v>14840</v>
      </c>
      <c r="C82" s="17">
        <v>1.4E-3</v>
      </c>
      <c r="D82" s="14">
        <f>ROUND(B82*C82,0)</f>
        <v>21</v>
      </c>
      <c r="E82" s="3"/>
      <c r="F82" s="3"/>
      <c r="G82" s="3"/>
      <c r="H82" s="3"/>
      <c r="I82" s="3"/>
      <c r="J82" s="3"/>
    </row>
    <row r="83" spans="1:10" hidden="1" x14ac:dyDescent="0.2">
      <c r="A83" s="491" t="s">
        <v>1320</v>
      </c>
      <c r="B83" s="491"/>
      <c r="C83" s="491"/>
      <c r="D83" s="3">
        <f>SUM(D80:D82)</f>
        <v>181</v>
      </c>
      <c r="E83" s="3"/>
      <c r="F83" s="3"/>
      <c r="G83" s="3"/>
      <c r="H83" s="3"/>
      <c r="I83" s="3"/>
      <c r="J83" s="3"/>
    </row>
    <row r="84" spans="1:10" s="395" customFormat="1" hidden="1" x14ac:dyDescent="0.2">
      <c r="A84" s="491"/>
      <c r="B84" s="491"/>
      <c r="C84" s="491"/>
      <c r="D84" s="3"/>
      <c r="E84" s="3"/>
      <c r="F84" s="418"/>
      <c r="G84" s="416"/>
      <c r="H84" s="475"/>
      <c r="I84" s="557"/>
      <c r="J84" s="557"/>
    </row>
    <row r="85" spans="1:10" s="395" customFormat="1" hidden="1" x14ac:dyDescent="0.2">
      <c r="A85" s="491"/>
      <c r="B85" s="491"/>
      <c r="C85" s="491"/>
      <c r="D85" s="3"/>
      <c r="E85" s="3"/>
      <c r="F85" s="3"/>
      <c r="G85" s="3"/>
      <c r="H85" s="3"/>
      <c r="I85" s="3"/>
      <c r="J85" s="3"/>
    </row>
    <row r="86" spans="1:10" x14ac:dyDescent="0.2">
      <c r="A86" s="491"/>
      <c r="B86" s="491"/>
      <c r="C86" s="491"/>
      <c r="D86" s="3"/>
      <c r="E86" s="3"/>
      <c r="F86" s="3"/>
      <c r="G86" s="3"/>
      <c r="H86" s="3"/>
      <c r="I86" s="3"/>
      <c r="J86" s="3"/>
    </row>
    <row r="87" spans="1:10" ht="13.5" x14ac:dyDescent="0.25">
      <c r="A87" s="494" t="s">
        <v>1422</v>
      </c>
      <c r="B87" s="491"/>
      <c r="C87" s="491"/>
      <c r="D87" s="3"/>
      <c r="E87" s="3">
        <v>3053</v>
      </c>
      <c r="F87" s="3">
        <v>4000</v>
      </c>
      <c r="G87" s="3">
        <v>4000</v>
      </c>
      <c r="H87" s="3">
        <v>4000</v>
      </c>
      <c r="I87" s="3">
        <v>4000</v>
      </c>
      <c r="J87" s="3"/>
    </row>
    <row r="88" spans="1:10" ht="15" x14ac:dyDescent="0.35">
      <c r="A88" s="491" t="s">
        <v>862</v>
      </c>
      <c r="B88" s="491"/>
      <c r="C88" s="3"/>
      <c r="D88" s="14">
        <v>4000</v>
      </c>
      <c r="E88" s="3"/>
      <c r="F88" s="3"/>
      <c r="G88" s="3"/>
      <c r="H88" s="3"/>
      <c r="I88" s="3"/>
      <c r="J88" s="3"/>
    </row>
    <row r="89" spans="1:10" x14ac:dyDescent="0.2">
      <c r="A89" s="491"/>
      <c r="B89" s="491"/>
      <c r="C89" s="3"/>
      <c r="D89" s="3">
        <v>4000</v>
      </c>
      <c r="E89" s="3"/>
      <c r="F89" s="3"/>
      <c r="G89" s="3"/>
      <c r="H89" s="3"/>
      <c r="I89" s="3"/>
      <c r="J89" s="3"/>
    </row>
    <row r="90" spans="1:10" ht="13.5" x14ac:dyDescent="0.25">
      <c r="A90" s="494" t="s">
        <v>863</v>
      </c>
      <c r="B90" s="491"/>
      <c r="C90" s="3"/>
      <c r="D90" s="3"/>
      <c r="E90" s="3">
        <v>1440</v>
      </c>
      <c r="F90" s="3">
        <v>3500</v>
      </c>
      <c r="G90" s="3">
        <v>3500</v>
      </c>
      <c r="H90" s="3">
        <v>3500</v>
      </c>
      <c r="I90" s="3">
        <v>3500</v>
      </c>
      <c r="J90" s="3"/>
    </row>
    <row r="91" spans="1:10" x14ac:dyDescent="0.2">
      <c r="A91" s="491" t="s">
        <v>1449</v>
      </c>
      <c r="B91" s="491"/>
      <c r="C91" s="3"/>
      <c r="D91" s="3">
        <v>3500</v>
      </c>
      <c r="E91" s="3"/>
      <c r="F91" s="3"/>
      <c r="G91" s="3"/>
      <c r="H91" s="3"/>
      <c r="I91" s="3"/>
      <c r="J91" s="3"/>
    </row>
    <row r="92" spans="1:10" x14ac:dyDescent="0.2">
      <c r="A92" s="491" t="s">
        <v>418</v>
      </c>
      <c r="B92" s="491"/>
      <c r="C92" s="3" t="s">
        <v>418</v>
      </c>
      <c r="D92" s="3" t="s">
        <v>418</v>
      </c>
      <c r="E92" s="3"/>
      <c r="F92" s="3"/>
      <c r="G92" s="3"/>
      <c r="H92" s="3"/>
      <c r="I92" s="3"/>
      <c r="J92" s="3"/>
    </row>
    <row r="93" spans="1:10" ht="13.5" x14ac:dyDescent="0.25">
      <c r="A93" s="494" t="s">
        <v>1450</v>
      </c>
      <c r="B93" s="491"/>
      <c r="C93" s="3" t="s">
        <v>418</v>
      </c>
      <c r="D93" s="3" t="s">
        <v>418</v>
      </c>
      <c r="E93" s="3">
        <v>3206</v>
      </c>
      <c r="F93" s="3">
        <v>3700</v>
      </c>
      <c r="G93" s="3">
        <v>3700</v>
      </c>
      <c r="H93" s="3">
        <v>3700</v>
      </c>
      <c r="I93" s="3">
        <v>3700</v>
      </c>
      <c r="J93" s="3"/>
    </row>
    <row r="94" spans="1:10" x14ac:dyDescent="0.2">
      <c r="A94" s="491" t="s">
        <v>223</v>
      </c>
      <c r="B94" s="3">
        <v>8</v>
      </c>
      <c r="C94" s="3">
        <v>400</v>
      </c>
      <c r="D94" s="3">
        <f>ROUND(B94*C94,0)</f>
        <v>3200</v>
      </c>
      <c r="E94" s="3"/>
      <c r="F94" s="3"/>
      <c r="G94" s="3"/>
      <c r="H94" s="3"/>
      <c r="I94" s="3"/>
      <c r="J94" s="3"/>
    </row>
    <row r="95" spans="1:10" ht="15" x14ac:dyDescent="0.35">
      <c r="A95" s="491" t="s">
        <v>236</v>
      </c>
      <c r="B95" s="3">
        <v>1</v>
      </c>
      <c r="C95" s="14">
        <v>500</v>
      </c>
      <c r="D95" s="14">
        <f>ROUND(B95*C95,0)</f>
        <v>500</v>
      </c>
      <c r="E95" s="3"/>
      <c r="F95" s="3"/>
      <c r="G95" s="3"/>
      <c r="H95" s="3"/>
      <c r="I95" s="3"/>
      <c r="J95" s="3"/>
    </row>
    <row r="96" spans="1:10" x14ac:dyDescent="0.2">
      <c r="A96" s="491" t="s">
        <v>1320</v>
      </c>
      <c r="B96" s="491"/>
      <c r="C96" s="3">
        <f>SUM(C94:C95)</f>
        <v>900</v>
      </c>
      <c r="D96" s="3">
        <f>SUM(D94:D95)</f>
        <v>3700</v>
      </c>
      <c r="E96" s="3"/>
      <c r="F96" s="3"/>
      <c r="G96" s="3"/>
      <c r="H96" s="3"/>
      <c r="I96" s="3"/>
      <c r="J96" s="3"/>
    </row>
    <row r="97" spans="1:10" x14ac:dyDescent="0.2">
      <c r="A97" s="491"/>
      <c r="B97" s="491"/>
      <c r="C97" s="3"/>
      <c r="D97" s="3"/>
      <c r="E97" s="3"/>
      <c r="F97" s="3"/>
      <c r="G97" s="3"/>
      <c r="H97" s="3"/>
      <c r="I97" s="3"/>
      <c r="J97" s="3"/>
    </row>
    <row r="98" spans="1:10" ht="13.5" x14ac:dyDescent="0.25">
      <c r="A98" s="494" t="s">
        <v>237</v>
      </c>
      <c r="B98" s="491"/>
      <c r="C98" s="3"/>
      <c r="D98" s="3"/>
      <c r="E98" s="3">
        <v>201</v>
      </c>
      <c r="F98" s="3">
        <v>270</v>
      </c>
      <c r="G98" s="3">
        <v>270</v>
      </c>
      <c r="H98" s="3">
        <v>270</v>
      </c>
      <c r="I98" s="3">
        <v>270</v>
      </c>
      <c r="J98" s="3"/>
    </row>
    <row r="99" spans="1:10" x14ac:dyDescent="0.2">
      <c r="A99" s="491" t="s">
        <v>1200</v>
      </c>
      <c r="B99" s="491"/>
      <c r="C99" s="3"/>
      <c r="D99" s="3">
        <v>270</v>
      </c>
      <c r="E99" s="3"/>
      <c r="F99" s="3"/>
      <c r="G99" s="3"/>
      <c r="H99" s="3"/>
      <c r="I99" s="3"/>
      <c r="J99" s="3"/>
    </row>
    <row r="100" spans="1:10" x14ac:dyDescent="0.2">
      <c r="A100" s="491"/>
      <c r="B100" s="491"/>
      <c r="C100" s="3"/>
      <c r="D100" s="3"/>
      <c r="E100" s="3"/>
      <c r="F100" s="3"/>
      <c r="G100" s="3"/>
      <c r="H100" s="3"/>
      <c r="I100" s="3"/>
      <c r="J100" s="3"/>
    </row>
    <row r="101" spans="1:10" ht="13.5" x14ac:dyDescent="0.25">
      <c r="A101" s="494" t="s">
        <v>904</v>
      </c>
      <c r="B101" s="491"/>
      <c r="C101" s="3"/>
      <c r="D101" s="3"/>
      <c r="E101" s="3">
        <v>45234</v>
      </c>
      <c r="F101" s="3">
        <v>42550</v>
      </c>
      <c r="G101" s="3">
        <v>58000</v>
      </c>
      <c r="H101" s="3">
        <v>58000</v>
      </c>
      <c r="I101" s="3">
        <v>58000</v>
      </c>
      <c r="J101" s="3"/>
    </row>
    <row r="102" spans="1:10" x14ac:dyDescent="0.2">
      <c r="A102" s="491" t="s">
        <v>1026</v>
      </c>
      <c r="B102" s="491"/>
      <c r="C102" s="491"/>
      <c r="D102" s="3">
        <v>11000</v>
      </c>
      <c r="E102" s="491"/>
      <c r="F102" s="3"/>
      <c r="G102" s="3"/>
      <c r="H102" s="3"/>
      <c r="I102" s="3"/>
      <c r="J102" s="3"/>
    </row>
    <row r="103" spans="1:10" x14ac:dyDescent="0.2">
      <c r="A103" s="491" t="s">
        <v>2013</v>
      </c>
      <c r="B103" s="491"/>
      <c r="C103" s="491"/>
      <c r="D103" s="3">
        <v>2000</v>
      </c>
      <c r="E103" s="491"/>
      <c r="F103" s="3"/>
      <c r="G103" s="3"/>
      <c r="H103" s="3"/>
      <c r="I103" s="3"/>
      <c r="J103" s="3"/>
    </row>
    <row r="104" spans="1:10" x14ac:dyDescent="0.2">
      <c r="A104" s="528" t="s">
        <v>2660</v>
      </c>
      <c r="B104" s="528"/>
      <c r="C104" s="3"/>
      <c r="D104" s="529">
        <v>6000</v>
      </c>
      <c r="E104" s="491"/>
      <c r="F104" s="3"/>
      <c r="G104" s="3"/>
      <c r="H104" s="3"/>
      <c r="I104" s="3"/>
      <c r="J104" s="3"/>
    </row>
    <row r="105" spans="1:10" x14ac:dyDescent="0.2">
      <c r="A105" s="491" t="s">
        <v>2015</v>
      </c>
      <c r="B105" s="491"/>
      <c r="C105" s="3"/>
      <c r="D105" s="3">
        <v>4500</v>
      </c>
      <c r="E105" s="491"/>
      <c r="F105" s="3"/>
      <c r="G105" s="3"/>
      <c r="H105" s="3"/>
      <c r="I105" s="3"/>
      <c r="J105" s="3"/>
    </row>
    <row r="106" spans="1:10" x14ac:dyDescent="0.2">
      <c r="A106" s="491" t="s">
        <v>1955</v>
      </c>
      <c r="B106" s="491"/>
      <c r="C106" s="3"/>
      <c r="D106" s="3">
        <v>1000</v>
      </c>
      <c r="E106" s="491"/>
      <c r="F106" s="3"/>
      <c r="G106" s="3"/>
      <c r="H106" s="3"/>
      <c r="I106" s="3"/>
      <c r="J106" s="3"/>
    </row>
    <row r="107" spans="1:10" x14ac:dyDescent="0.2">
      <c r="A107" s="491" t="s">
        <v>2089</v>
      </c>
      <c r="B107" s="491"/>
      <c r="C107" s="3"/>
      <c r="D107" s="3">
        <v>28000</v>
      </c>
      <c r="E107" s="491"/>
      <c r="F107" s="3"/>
      <c r="G107" s="3"/>
      <c r="H107" s="3"/>
      <c r="I107" s="3"/>
      <c r="J107" s="3"/>
    </row>
    <row r="108" spans="1:10" s="445" customFormat="1" x14ac:dyDescent="0.2">
      <c r="A108" s="491" t="s">
        <v>2524</v>
      </c>
      <c r="B108" s="491"/>
      <c r="C108" s="3"/>
      <c r="D108" s="3">
        <v>1000</v>
      </c>
      <c r="E108" s="491"/>
      <c r="F108" s="3"/>
      <c r="G108" s="3"/>
      <c r="H108" s="3"/>
      <c r="I108" s="3"/>
      <c r="J108" s="3"/>
    </row>
    <row r="109" spans="1:10" ht="15" x14ac:dyDescent="0.35">
      <c r="A109" s="491" t="s">
        <v>2305</v>
      </c>
      <c r="B109" s="491"/>
      <c r="C109" s="491"/>
      <c r="D109" s="14">
        <v>4500</v>
      </c>
      <c r="E109" s="491"/>
      <c r="F109" s="3"/>
      <c r="G109" s="3"/>
      <c r="H109" s="3"/>
      <c r="I109" s="3"/>
      <c r="J109" s="3"/>
    </row>
    <row r="110" spans="1:10" x14ac:dyDescent="0.2">
      <c r="A110" s="491" t="s">
        <v>1320</v>
      </c>
      <c r="B110" s="491"/>
      <c r="C110" s="3"/>
      <c r="D110" s="3">
        <f>SUM(D102:D109)</f>
        <v>58000</v>
      </c>
      <c r="E110" s="491"/>
      <c r="F110" s="3"/>
      <c r="G110" s="3"/>
      <c r="H110" s="3"/>
      <c r="I110" s="3"/>
      <c r="J110" s="3"/>
    </row>
    <row r="111" spans="1:10" x14ac:dyDescent="0.2">
      <c r="A111" s="491"/>
      <c r="B111" s="491"/>
      <c r="C111" s="3"/>
      <c r="D111" s="3"/>
      <c r="E111" s="491"/>
      <c r="F111" s="3"/>
      <c r="G111" s="3"/>
      <c r="H111" s="3"/>
      <c r="I111" s="3"/>
      <c r="J111" s="3"/>
    </row>
    <row r="112" spans="1:10" x14ac:dyDescent="0.2">
      <c r="A112" s="243" t="s">
        <v>2483</v>
      </c>
      <c r="B112" s="491"/>
      <c r="C112" s="3"/>
      <c r="D112" s="3"/>
      <c r="E112" s="3">
        <v>0</v>
      </c>
      <c r="F112" s="3">
        <v>648</v>
      </c>
      <c r="G112" s="3">
        <v>648</v>
      </c>
      <c r="H112" s="3">
        <v>648</v>
      </c>
      <c r="I112" s="3">
        <v>648</v>
      </c>
      <c r="J112" s="3"/>
    </row>
    <row r="113" spans="1:10" x14ac:dyDescent="0.2">
      <c r="A113" s="491" t="s">
        <v>2484</v>
      </c>
      <c r="B113" s="491">
        <v>9</v>
      </c>
      <c r="C113" s="3">
        <v>72</v>
      </c>
      <c r="D113" s="3">
        <f>+C113*B113</f>
        <v>648</v>
      </c>
      <c r="E113" s="491"/>
      <c r="F113" s="3"/>
      <c r="G113" s="3"/>
      <c r="H113" s="3"/>
      <c r="I113" s="3"/>
      <c r="J113" s="3"/>
    </row>
    <row r="114" spans="1:10" x14ac:dyDescent="0.2">
      <c r="A114" s="491"/>
      <c r="B114" s="491"/>
      <c r="C114" s="3"/>
      <c r="D114" s="3"/>
      <c r="E114" s="3"/>
      <c r="F114" s="3"/>
      <c r="G114" s="3"/>
      <c r="H114" s="3"/>
      <c r="I114" s="3"/>
      <c r="J114" s="3"/>
    </row>
    <row r="115" spans="1:10" ht="13.5" x14ac:dyDescent="0.25">
      <c r="A115" s="20" t="s">
        <v>50</v>
      </c>
      <c r="B115" s="491"/>
      <c r="C115" s="491"/>
      <c r="D115" s="3"/>
      <c r="E115" s="3">
        <v>4572</v>
      </c>
      <c r="F115" s="3">
        <v>5586</v>
      </c>
      <c r="G115" s="3">
        <v>5587</v>
      </c>
      <c r="H115" s="3">
        <v>5587</v>
      </c>
      <c r="I115" s="3">
        <v>5587</v>
      </c>
      <c r="J115" s="3"/>
    </row>
    <row r="116" spans="1:10" x14ac:dyDescent="0.2">
      <c r="A116" s="491" t="s">
        <v>1540</v>
      </c>
      <c r="B116" s="491"/>
      <c r="C116" s="491"/>
      <c r="D116" s="3">
        <v>5587</v>
      </c>
      <c r="E116" s="3"/>
      <c r="F116" s="3"/>
      <c r="G116" s="3"/>
      <c r="H116" s="3"/>
      <c r="I116" s="3"/>
      <c r="J116" s="3"/>
    </row>
    <row r="117" spans="1:10" x14ac:dyDescent="0.2">
      <c r="A117" s="491"/>
      <c r="B117" s="491"/>
      <c r="C117" s="3"/>
      <c r="D117" s="3"/>
      <c r="E117" s="3"/>
      <c r="F117" s="3"/>
      <c r="G117" s="3"/>
      <c r="H117" s="3"/>
      <c r="I117" s="3"/>
      <c r="J117" s="3"/>
    </row>
    <row r="118" spans="1:10" ht="13.5" x14ac:dyDescent="0.25">
      <c r="A118" s="61" t="s">
        <v>2086</v>
      </c>
      <c r="B118" s="491"/>
      <c r="C118" s="3"/>
      <c r="D118" s="3"/>
      <c r="E118" s="3">
        <v>1400</v>
      </c>
      <c r="F118" s="3">
        <v>1000</v>
      </c>
      <c r="G118" s="3">
        <v>1000</v>
      </c>
      <c r="H118" s="3">
        <v>1000</v>
      </c>
      <c r="I118" s="3">
        <v>1000</v>
      </c>
      <c r="J118" s="3"/>
    </row>
    <row r="119" spans="1:10" x14ac:dyDescent="0.2">
      <c r="A119" s="491" t="s">
        <v>2111</v>
      </c>
      <c r="B119" s="491"/>
      <c r="C119" s="3"/>
      <c r="D119" s="3">
        <v>1000</v>
      </c>
      <c r="E119" s="3"/>
      <c r="F119" s="3"/>
      <c r="G119" s="3"/>
      <c r="H119" s="3"/>
      <c r="I119" s="3"/>
      <c r="J119" s="3"/>
    </row>
    <row r="120" spans="1:10" s="416" customFormat="1" x14ac:dyDescent="0.2">
      <c r="A120" s="491"/>
      <c r="B120" s="491"/>
      <c r="C120" s="3"/>
      <c r="D120" s="3"/>
      <c r="E120" s="3"/>
      <c r="F120" s="3"/>
      <c r="G120" s="3"/>
      <c r="H120" s="3"/>
      <c r="I120" s="3"/>
      <c r="J120" s="3"/>
    </row>
    <row r="121" spans="1:10" ht="13.5" x14ac:dyDescent="0.25">
      <c r="A121" s="494" t="s">
        <v>13</v>
      </c>
      <c r="B121" s="491"/>
      <c r="C121" s="3"/>
      <c r="D121" s="11" t="s">
        <v>418</v>
      </c>
      <c r="E121" s="3">
        <v>37067</v>
      </c>
      <c r="F121" s="3">
        <v>7345</v>
      </c>
      <c r="G121" s="3">
        <v>43345</v>
      </c>
      <c r="H121" s="3">
        <v>43345</v>
      </c>
      <c r="I121" s="3">
        <v>43345</v>
      </c>
      <c r="J121" s="3"/>
    </row>
    <row r="122" spans="1:10" x14ac:dyDescent="0.2">
      <c r="A122" s="491" t="s">
        <v>14</v>
      </c>
      <c r="B122" s="491"/>
      <c r="C122" s="3"/>
      <c r="D122" s="3">
        <v>2000</v>
      </c>
      <c r="E122" s="3"/>
      <c r="F122" s="3"/>
      <c r="G122" s="3"/>
      <c r="H122" s="3"/>
      <c r="I122" s="3"/>
      <c r="J122" s="3"/>
    </row>
    <row r="123" spans="1:10" x14ac:dyDescent="0.2">
      <c r="A123" s="491" t="s">
        <v>554</v>
      </c>
      <c r="B123" s="491"/>
      <c r="C123" s="3"/>
      <c r="D123" s="3">
        <v>350</v>
      </c>
      <c r="E123" s="3"/>
      <c r="F123" s="3"/>
      <c r="G123" s="3"/>
      <c r="H123" s="3"/>
      <c r="I123" s="3"/>
      <c r="J123" s="3"/>
    </row>
    <row r="124" spans="1:10" x14ac:dyDescent="0.2">
      <c r="A124" s="491" t="s">
        <v>15</v>
      </c>
      <c r="B124" s="491"/>
      <c r="C124" s="3"/>
      <c r="D124" s="3">
        <v>600</v>
      </c>
      <c r="E124" s="3"/>
      <c r="F124" s="3"/>
      <c r="G124" s="3"/>
      <c r="H124" s="3"/>
      <c r="I124" s="3"/>
      <c r="J124" s="3"/>
    </row>
    <row r="125" spans="1:10" x14ac:dyDescent="0.2">
      <c r="A125" s="491" t="s">
        <v>1741</v>
      </c>
      <c r="B125" s="491"/>
      <c r="C125" s="1"/>
      <c r="D125" s="3">
        <v>4000</v>
      </c>
      <c r="E125" s="1"/>
      <c r="F125" s="1"/>
      <c r="G125" s="1"/>
      <c r="H125" s="1"/>
      <c r="I125" s="1"/>
      <c r="J125" s="1"/>
    </row>
    <row r="126" spans="1:10" x14ac:dyDescent="0.2">
      <c r="A126" s="491" t="s">
        <v>2557</v>
      </c>
      <c r="B126" s="491"/>
      <c r="C126" s="1"/>
      <c r="D126" s="3">
        <v>34000</v>
      </c>
      <c r="E126" s="1"/>
      <c r="F126" s="1"/>
      <c r="G126" s="1"/>
      <c r="H126" s="1"/>
      <c r="I126" s="1"/>
      <c r="J126" s="1"/>
    </row>
    <row r="127" spans="1:10" x14ac:dyDescent="0.2">
      <c r="A127" s="491" t="s">
        <v>2558</v>
      </c>
      <c r="B127" s="491"/>
      <c r="C127" s="1"/>
      <c r="D127" s="3">
        <v>1000</v>
      </c>
      <c r="E127" s="1"/>
      <c r="F127" s="1"/>
      <c r="G127" s="1"/>
      <c r="H127" s="1"/>
      <c r="I127" s="1"/>
      <c r="J127" s="1"/>
    </row>
    <row r="128" spans="1:10" x14ac:dyDescent="0.2">
      <c r="A128" s="491" t="s">
        <v>2066</v>
      </c>
      <c r="B128" s="491"/>
      <c r="C128" s="1"/>
      <c r="D128" s="3">
        <v>0</v>
      </c>
      <c r="E128" s="1"/>
      <c r="F128" s="1"/>
      <c r="G128" s="1"/>
      <c r="H128" s="1"/>
      <c r="I128" s="1"/>
      <c r="J128" s="1"/>
    </row>
    <row r="129" spans="1:10" ht="15" x14ac:dyDescent="0.35">
      <c r="A129" s="491" t="s">
        <v>1823</v>
      </c>
      <c r="B129" s="491"/>
      <c r="C129" s="1"/>
      <c r="D129" s="3">
        <v>600</v>
      </c>
      <c r="E129" s="79"/>
      <c r="F129" s="1"/>
      <c r="G129" s="1"/>
      <c r="H129" s="1"/>
      <c r="I129" s="1"/>
      <c r="J129" s="1"/>
    </row>
    <row r="130" spans="1:10" ht="15" x14ac:dyDescent="0.35">
      <c r="A130" s="491" t="s">
        <v>1506</v>
      </c>
      <c r="B130" s="491"/>
      <c r="C130" s="79"/>
      <c r="D130" s="14">
        <v>795</v>
      </c>
      <c r="E130" s="3"/>
      <c r="F130" s="79"/>
      <c r="G130" s="79"/>
      <c r="H130" s="79"/>
      <c r="I130" s="79"/>
      <c r="J130" s="79"/>
    </row>
    <row r="131" spans="1:10" x14ac:dyDescent="0.2">
      <c r="A131" s="491" t="s">
        <v>1320</v>
      </c>
      <c r="B131" s="491"/>
      <c r="C131" s="3"/>
      <c r="D131" s="3">
        <f>SUM(D122:D130)</f>
        <v>43345</v>
      </c>
      <c r="E131" s="3"/>
      <c r="F131" s="3"/>
      <c r="G131" s="3"/>
      <c r="H131" s="3"/>
      <c r="I131" s="3"/>
      <c r="J131" s="3"/>
    </row>
    <row r="132" spans="1:10" x14ac:dyDescent="0.2">
      <c r="A132" s="491"/>
      <c r="B132" s="491"/>
      <c r="C132" s="3"/>
      <c r="D132" s="3"/>
      <c r="E132" s="491"/>
      <c r="F132" s="3"/>
      <c r="G132" s="3"/>
      <c r="H132" s="3"/>
      <c r="I132" s="3"/>
      <c r="J132" s="3"/>
    </row>
    <row r="133" spans="1:10" ht="13.5" x14ac:dyDescent="0.25">
      <c r="A133" s="494" t="s">
        <v>16</v>
      </c>
      <c r="B133" s="491"/>
      <c r="C133" s="3"/>
      <c r="D133" s="3"/>
      <c r="E133" s="3">
        <v>6553</v>
      </c>
      <c r="F133" s="3">
        <v>50370</v>
      </c>
      <c r="G133" s="3">
        <v>51758</v>
      </c>
      <c r="H133" s="3">
        <v>51758</v>
      </c>
      <c r="I133" s="3">
        <v>51758</v>
      </c>
      <c r="J133" s="3"/>
    </row>
    <row r="134" spans="1:10" x14ac:dyDescent="0.2">
      <c r="A134" s="491" t="s">
        <v>1111</v>
      </c>
      <c r="B134" s="491"/>
      <c r="C134" s="3"/>
      <c r="D134" s="3">
        <v>8000</v>
      </c>
      <c r="E134" s="3"/>
      <c r="F134" s="3"/>
      <c r="G134" s="3"/>
      <c r="H134" s="3"/>
      <c r="I134" s="3"/>
      <c r="J134" s="3"/>
    </row>
    <row r="135" spans="1:10" x14ac:dyDescent="0.2">
      <c r="A135" s="491" t="s">
        <v>2485</v>
      </c>
      <c r="B135" s="491"/>
      <c r="C135" s="3"/>
      <c r="D135" s="3">
        <v>8050</v>
      </c>
      <c r="E135" s="3"/>
      <c r="F135" s="3"/>
      <c r="G135" s="3"/>
      <c r="H135" s="3"/>
      <c r="I135" s="3"/>
      <c r="J135" s="3"/>
    </row>
    <row r="136" spans="1:10" s="384" customFormat="1" x14ac:dyDescent="0.2">
      <c r="A136" s="491" t="s">
        <v>2486</v>
      </c>
      <c r="B136" s="491"/>
      <c r="C136" s="3"/>
      <c r="D136" s="3">
        <v>2588</v>
      </c>
      <c r="E136" s="3"/>
      <c r="F136" s="3"/>
      <c r="G136" s="3"/>
      <c r="H136" s="3"/>
      <c r="I136" s="3"/>
      <c r="J136" s="3"/>
    </row>
    <row r="137" spans="1:10" ht="15" x14ac:dyDescent="0.35">
      <c r="A137" s="491" t="s">
        <v>2487</v>
      </c>
      <c r="B137" s="491">
        <v>138</v>
      </c>
      <c r="C137" s="3">
        <v>20</v>
      </c>
      <c r="D137" s="14">
        <v>33120</v>
      </c>
      <c r="E137" s="3"/>
      <c r="F137" s="3"/>
      <c r="G137" s="3"/>
      <c r="H137" s="3"/>
      <c r="I137" s="3"/>
      <c r="J137" s="3"/>
    </row>
    <row r="138" spans="1:10" x14ac:dyDescent="0.2">
      <c r="A138" s="491"/>
      <c r="B138" s="491"/>
      <c r="C138" s="3"/>
      <c r="D138" s="3">
        <f>SUM(D134:D137)</f>
        <v>51758</v>
      </c>
      <c r="E138" s="3"/>
      <c r="F138" s="3"/>
      <c r="G138" s="3"/>
      <c r="H138" s="3"/>
      <c r="I138" s="3"/>
      <c r="J138" s="3"/>
    </row>
    <row r="139" spans="1:10" s="364" customFormat="1" x14ac:dyDescent="0.2">
      <c r="A139" s="491"/>
      <c r="B139" s="491"/>
      <c r="C139" s="3"/>
      <c r="D139" s="491"/>
      <c r="E139" s="3"/>
      <c r="F139" s="3"/>
      <c r="G139" s="3"/>
      <c r="H139" s="3"/>
      <c r="I139" s="3"/>
      <c r="J139" s="3"/>
    </row>
    <row r="140" spans="1:10" ht="13.5" x14ac:dyDescent="0.25">
      <c r="A140" s="494" t="s">
        <v>1521</v>
      </c>
      <c r="B140" s="491"/>
      <c r="C140" s="3"/>
      <c r="D140" s="3"/>
      <c r="E140" s="3">
        <v>1576</v>
      </c>
      <c r="F140" s="3">
        <v>12000</v>
      </c>
      <c r="G140" s="3">
        <v>12000</v>
      </c>
      <c r="H140" s="3">
        <v>11000</v>
      </c>
      <c r="I140" s="3">
        <v>11000</v>
      </c>
      <c r="J140" s="3"/>
    </row>
    <row r="141" spans="1:10" x14ac:dyDescent="0.2">
      <c r="A141" s="491" t="s">
        <v>1687</v>
      </c>
      <c r="B141" s="491"/>
      <c r="C141" s="3"/>
      <c r="D141" s="3">
        <v>9000</v>
      </c>
      <c r="E141" s="3"/>
      <c r="F141" s="3"/>
      <c r="G141" s="3"/>
      <c r="H141" s="3"/>
      <c r="I141" s="3"/>
      <c r="J141" s="3"/>
    </row>
    <row r="142" spans="1:10" x14ac:dyDescent="0.2">
      <c r="A142" s="491" t="s">
        <v>1798</v>
      </c>
      <c r="B142" s="491"/>
      <c r="C142" s="3"/>
      <c r="D142" s="3">
        <v>1000</v>
      </c>
      <c r="E142" s="3"/>
      <c r="F142" s="3"/>
      <c r="G142" s="3"/>
      <c r="H142" s="3"/>
      <c r="I142" s="3"/>
      <c r="J142" s="3"/>
    </row>
    <row r="143" spans="1:10" ht="15" x14ac:dyDescent="0.35">
      <c r="A143" s="491" t="s">
        <v>1272</v>
      </c>
      <c r="B143" s="491"/>
      <c r="C143" s="14"/>
      <c r="D143" s="14">
        <v>1000</v>
      </c>
      <c r="E143" s="3"/>
      <c r="F143" s="3"/>
      <c r="G143" s="3"/>
      <c r="H143" s="3"/>
      <c r="I143" s="3"/>
      <c r="J143" s="3"/>
    </row>
    <row r="144" spans="1:10" x14ac:dyDescent="0.2">
      <c r="A144" s="491" t="s">
        <v>1320</v>
      </c>
      <c r="B144" s="491"/>
      <c r="C144" s="3"/>
      <c r="D144" s="3">
        <f>SUM(D141:D143)</f>
        <v>11000</v>
      </c>
      <c r="E144" s="3"/>
      <c r="F144" s="3"/>
      <c r="G144" s="3"/>
      <c r="H144" s="3"/>
      <c r="I144" s="3"/>
      <c r="J144" s="3"/>
    </row>
    <row r="145" spans="1:11" x14ac:dyDescent="0.2">
      <c r="A145" s="491"/>
      <c r="B145" s="491"/>
      <c r="C145" s="3"/>
      <c r="D145" s="3"/>
      <c r="E145" s="491"/>
      <c r="F145" s="453"/>
      <c r="G145" s="453"/>
      <c r="H145" s="475"/>
      <c r="I145" s="557"/>
      <c r="J145" s="557"/>
    </row>
    <row r="146" spans="1:11" ht="13.5" x14ac:dyDescent="0.25">
      <c r="A146" s="494" t="s">
        <v>2112</v>
      </c>
      <c r="B146" s="491"/>
      <c r="C146" s="3"/>
      <c r="D146" s="3"/>
      <c r="E146" s="3">
        <v>30794</v>
      </c>
      <c r="F146" s="3">
        <v>6000</v>
      </c>
      <c r="G146" s="3">
        <v>6000</v>
      </c>
      <c r="H146" s="3">
        <v>6000</v>
      </c>
      <c r="I146" s="3">
        <v>6000</v>
      </c>
      <c r="J146" s="3"/>
    </row>
    <row r="147" spans="1:11" x14ac:dyDescent="0.2">
      <c r="A147" s="27" t="s">
        <v>2113</v>
      </c>
      <c r="B147" s="491"/>
      <c r="C147" s="3"/>
      <c r="D147" s="3">
        <v>6000</v>
      </c>
      <c r="E147" s="491"/>
      <c r="F147" s="453"/>
      <c r="G147" s="453"/>
      <c r="H147" s="475"/>
      <c r="I147" s="557"/>
      <c r="J147" s="557"/>
    </row>
    <row r="148" spans="1:11" x14ac:dyDescent="0.2">
      <c r="A148" s="27"/>
      <c r="B148" s="453"/>
      <c r="C148" s="3"/>
      <c r="D148" s="3"/>
      <c r="E148" s="453"/>
      <c r="F148" s="453"/>
      <c r="G148" s="453"/>
      <c r="H148" s="475"/>
      <c r="I148" s="557"/>
      <c r="J148" s="557"/>
    </row>
    <row r="149" spans="1:11" s="402" customFormat="1" ht="13.5" x14ac:dyDescent="0.25">
      <c r="A149" s="455" t="s">
        <v>113</v>
      </c>
      <c r="B149" s="453"/>
      <c r="C149" s="3"/>
      <c r="D149" s="3"/>
      <c r="E149" s="3">
        <v>504423</v>
      </c>
      <c r="F149" s="3">
        <v>763764</v>
      </c>
      <c r="G149" s="3">
        <v>1000</v>
      </c>
      <c r="H149" s="3">
        <v>1000</v>
      </c>
      <c r="I149" s="3">
        <v>1000</v>
      </c>
      <c r="J149" s="3"/>
    </row>
    <row r="150" spans="1:11" s="402" customFormat="1" x14ac:dyDescent="0.2">
      <c r="A150" s="27" t="s">
        <v>1771</v>
      </c>
      <c r="B150" s="453"/>
      <c r="C150" s="3"/>
      <c r="D150" s="3">
        <v>1000</v>
      </c>
      <c r="E150" s="453"/>
      <c r="F150" s="3"/>
      <c r="G150" s="3"/>
      <c r="H150" s="3"/>
      <c r="I150" s="3"/>
      <c r="J150" s="3"/>
    </row>
    <row r="151" spans="1:11" s="415" customFormat="1" ht="15" x14ac:dyDescent="0.35">
      <c r="A151" s="27"/>
      <c r="B151" s="453"/>
      <c r="C151" s="3"/>
      <c r="D151" s="14"/>
      <c r="E151" s="453"/>
      <c r="F151" s="3"/>
      <c r="G151" s="3"/>
      <c r="H151" s="3"/>
      <c r="I151" s="3"/>
      <c r="J151" s="3"/>
    </row>
    <row r="152" spans="1:11" ht="11.65" customHeight="1" x14ac:dyDescent="0.25">
      <c r="A152" s="455" t="s">
        <v>1493</v>
      </c>
      <c r="B152" s="3"/>
      <c r="C152" s="453"/>
      <c r="D152" s="3"/>
      <c r="E152" s="453"/>
      <c r="F152" s="3"/>
      <c r="G152" s="3"/>
      <c r="H152" s="3"/>
      <c r="I152" s="3"/>
      <c r="J152" s="3"/>
    </row>
    <row r="153" spans="1:11" ht="15" x14ac:dyDescent="0.35">
      <c r="A153" s="453" t="s">
        <v>588</v>
      </c>
      <c r="B153" s="3"/>
      <c r="C153" s="3">
        <v>100000</v>
      </c>
      <c r="D153" s="3"/>
      <c r="E153" s="14">
        <v>100000</v>
      </c>
      <c r="F153" s="14">
        <v>100000</v>
      </c>
      <c r="G153" s="14">
        <v>100000</v>
      </c>
      <c r="H153" s="14">
        <v>100000</v>
      </c>
      <c r="I153" s="14">
        <v>100000</v>
      </c>
      <c r="J153" s="14"/>
    </row>
    <row r="154" spans="1:11" s="453" customFormat="1" x14ac:dyDescent="0.2">
      <c r="B154" s="3"/>
      <c r="C154" s="3"/>
      <c r="D154" s="3"/>
      <c r="E154" s="3"/>
      <c r="F154" s="3"/>
      <c r="G154" s="3"/>
      <c r="H154" s="3"/>
      <c r="I154" s="3"/>
      <c r="J154" s="3"/>
    </row>
    <row r="155" spans="1:11" x14ac:dyDescent="0.2">
      <c r="A155" s="416" t="s">
        <v>1405</v>
      </c>
      <c r="B155" s="416"/>
      <c r="C155" s="3"/>
      <c r="D155" s="3"/>
      <c r="E155" s="3">
        <f t="shared" ref="E155:J155" si="4">SUM(E6:E153)</f>
        <v>1473154</v>
      </c>
      <c r="F155" s="3">
        <f t="shared" si="4"/>
        <v>1847778</v>
      </c>
      <c r="G155" s="3">
        <f t="shared" si="4"/>
        <v>1188885</v>
      </c>
      <c r="H155" s="3">
        <f t="shared" si="4"/>
        <v>1187872</v>
      </c>
      <c r="I155" s="3">
        <f t="shared" si="4"/>
        <v>1187872</v>
      </c>
      <c r="J155" s="3">
        <f t="shared" si="4"/>
        <v>0</v>
      </c>
    </row>
    <row r="156" spans="1:11" x14ac:dyDescent="0.2">
      <c r="A156" s="416"/>
      <c r="B156" s="416"/>
      <c r="C156" s="416"/>
      <c r="D156" s="416"/>
      <c r="E156" s="416"/>
      <c r="F156" s="416"/>
      <c r="G156" s="416"/>
      <c r="H156" s="475"/>
      <c r="I156" s="416"/>
      <c r="J156" s="416"/>
    </row>
    <row r="157" spans="1:11" x14ac:dyDescent="0.2">
      <c r="A157" s="416" t="s">
        <v>628</v>
      </c>
      <c r="B157" s="416"/>
      <c r="C157" s="416"/>
      <c r="D157" s="416"/>
      <c r="E157" s="3">
        <f>SUM(E6:E79)</f>
        <v>733635</v>
      </c>
      <c r="F157" s="3">
        <f>SUM(F6:F79)</f>
        <v>847045</v>
      </c>
      <c r="G157" s="3">
        <f>SUM(G6:G85)</f>
        <v>898077</v>
      </c>
      <c r="H157" s="3">
        <f>SUM(H6:H85)</f>
        <v>898064</v>
      </c>
      <c r="I157" s="3">
        <f>SUM(I6:I85)</f>
        <v>898064</v>
      </c>
      <c r="J157" s="3">
        <f>SUM(J6:J85)</f>
        <v>0</v>
      </c>
      <c r="K157" s="3">
        <f>+H157-F157</f>
        <v>51019</v>
      </c>
    </row>
    <row r="158" spans="1:11" x14ac:dyDescent="0.2">
      <c r="A158" s="416" t="s">
        <v>1024</v>
      </c>
      <c r="B158" s="416"/>
      <c r="C158" s="416"/>
      <c r="D158" s="416"/>
      <c r="E158" s="3">
        <f t="shared" ref="E158:J158" si="5">SUM(E86:E141)</f>
        <v>104302</v>
      </c>
      <c r="F158" s="3">
        <f t="shared" si="5"/>
        <v>130969</v>
      </c>
      <c r="G158" s="3">
        <f t="shared" si="5"/>
        <v>183808</v>
      </c>
      <c r="H158" s="3">
        <f t="shared" ref="H158" si="6">SUM(H86:H141)</f>
        <v>182808</v>
      </c>
      <c r="I158" s="3">
        <f t="shared" si="5"/>
        <v>182808</v>
      </c>
      <c r="J158" s="3">
        <f t="shared" si="5"/>
        <v>0</v>
      </c>
      <c r="K158" s="3">
        <f>+H158-F158</f>
        <v>51839</v>
      </c>
    </row>
    <row r="159" spans="1:11" ht="15" x14ac:dyDescent="0.35">
      <c r="A159" s="416" t="s">
        <v>1025</v>
      </c>
      <c r="B159" s="416"/>
      <c r="C159" s="416"/>
      <c r="D159" s="416"/>
      <c r="E159" s="14">
        <f>SUM(E144:E153)</f>
        <v>635217</v>
      </c>
      <c r="F159" s="14">
        <f>SUM(F144:F153)</f>
        <v>869764</v>
      </c>
      <c r="G159" s="14">
        <f>SUM(G144:G153)</f>
        <v>107000</v>
      </c>
      <c r="H159" s="14">
        <f>SUM(H144:H153)</f>
        <v>107000</v>
      </c>
      <c r="I159" s="14">
        <f>SUM(I144:I153)</f>
        <v>107000</v>
      </c>
      <c r="J159" s="14">
        <f>SUM(J145:J153)</f>
        <v>0</v>
      </c>
      <c r="K159" s="3">
        <f>+H159-F159</f>
        <v>-762764</v>
      </c>
    </row>
    <row r="160" spans="1:11" x14ac:dyDescent="0.2">
      <c r="A160" s="348" t="s">
        <v>1320</v>
      </c>
      <c r="E160" s="3">
        <f t="shared" ref="E160:J160" si="7">SUM(E157:E159)</f>
        <v>1473154</v>
      </c>
      <c r="F160" s="3">
        <f t="shared" si="7"/>
        <v>1847778</v>
      </c>
      <c r="G160" s="3">
        <f t="shared" si="7"/>
        <v>1188885</v>
      </c>
      <c r="H160" s="3">
        <f t="shared" ref="H160" si="8">SUM(H157:H159)</f>
        <v>1187872</v>
      </c>
      <c r="I160" s="3">
        <f>SUM(I157:I159)</f>
        <v>1187872</v>
      </c>
      <c r="J160" s="3">
        <f t="shared" si="7"/>
        <v>0</v>
      </c>
    </row>
    <row r="161" spans="7:10" x14ac:dyDescent="0.2">
      <c r="G161" s="224"/>
      <c r="H161" s="224"/>
      <c r="I161" s="224"/>
      <c r="J161" s="224"/>
    </row>
    <row r="162" spans="7:10" x14ac:dyDescent="0.2">
      <c r="G162" s="224"/>
      <c r="H162" s="224"/>
      <c r="I162" s="224"/>
      <c r="J162" s="295">
        <f>+J160-I160</f>
        <v>-1187872</v>
      </c>
    </row>
    <row r="163" spans="7:10" x14ac:dyDescent="0.2">
      <c r="G163" s="224"/>
      <c r="H163" s="224"/>
      <c r="I163" s="295">
        <f>+I160-H160</f>
        <v>0</v>
      </c>
      <c r="J163" s="224"/>
    </row>
    <row r="164" spans="7:10" x14ac:dyDescent="0.2">
      <c r="G164" s="224"/>
      <c r="H164" s="224"/>
      <c r="I164" s="224"/>
      <c r="J164" s="224"/>
    </row>
    <row r="165" spans="7:10" x14ac:dyDescent="0.2">
      <c r="G165" s="224"/>
      <c r="H165" s="224"/>
      <c r="I165" s="224"/>
      <c r="J165" s="224"/>
    </row>
    <row r="166" spans="7:10" x14ac:dyDescent="0.2">
      <c r="G166" s="224"/>
      <c r="H166" s="224"/>
      <c r="I166" s="224"/>
      <c r="J166" s="224"/>
    </row>
    <row r="167" spans="7:10" x14ac:dyDescent="0.2">
      <c r="G167" s="224"/>
      <c r="H167" s="224"/>
      <c r="I167" s="224"/>
      <c r="J167" s="224"/>
    </row>
    <row r="168" spans="7:10" x14ac:dyDescent="0.2">
      <c r="G168" s="224"/>
      <c r="H168" s="224"/>
      <c r="I168" s="224"/>
      <c r="J168" s="224"/>
    </row>
    <row r="169" spans="7:10" x14ac:dyDescent="0.2">
      <c r="G169" s="224"/>
      <c r="H169" s="224"/>
      <c r="I169" s="224"/>
      <c r="J169" s="224"/>
    </row>
    <row r="170" spans="7:10" x14ac:dyDescent="0.2">
      <c r="G170" s="224"/>
      <c r="H170" s="224"/>
      <c r="I170" s="224"/>
      <c r="J170" s="224"/>
    </row>
    <row r="171" spans="7:10" x14ac:dyDescent="0.2">
      <c r="G171" s="224"/>
      <c r="H171" s="224"/>
      <c r="I171" s="224"/>
      <c r="J171" s="224"/>
    </row>
    <row r="172" spans="7:10" x14ac:dyDescent="0.2">
      <c r="G172" s="224"/>
      <c r="H172" s="224"/>
      <c r="I172" s="224"/>
      <c r="J172" s="224"/>
    </row>
    <row r="173" spans="7:10" x14ac:dyDescent="0.2">
      <c r="G173" s="224"/>
      <c r="H173" s="224"/>
      <c r="I173" s="224"/>
      <c r="J173" s="224"/>
    </row>
    <row r="174" spans="7:10" x14ac:dyDescent="0.2">
      <c r="G174" s="224"/>
      <c r="H174" s="224"/>
      <c r="I174" s="224"/>
      <c r="J174" s="224"/>
    </row>
    <row r="175" spans="7:10" x14ac:dyDescent="0.2">
      <c r="G175" s="224"/>
      <c r="H175" s="224"/>
      <c r="I175" s="224"/>
      <c r="J175" s="224"/>
    </row>
    <row r="176" spans="7:10" x14ac:dyDescent="0.2">
      <c r="G176" s="224"/>
      <c r="H176" s="224"/>
      <c r="I176" s="224"/>
      <c r="J176" s="224"/>
    </row>
    <row r="177" spans="7:10" x14ac:dyDescent="0.2">
      <c r="G177" s="224"/>
      <c r="H177" s="224"/>
      <c r="I177" s="224"/>
      <c r="J177" s="224"/>
    </row>
    <row r="178" spans="7:10" x14ac:dyDescent="0.2">
      <c r="G178" s="224"/>
      <c r="H178" s="224"/>
      <c r="I178" s="224"/>
      <c r="J178" s="224"/>
    </row>
    <row r="179" spans="7:10" x14ac:dyDescent="0.2">
      <c r="G179" s="224"/>
      <c r="H179" s="224"/>
      <c r="I179" s="224"/>
      <c r="J179" s="224"/>
    </row>
    <row r="180" spans="7:10" x14ac:dyDescent="0.2">
      <c r="G180" s="224"/>
      <c r="H180" s="224"/>
      <c r="I180" s="224"/>
      <c r="J180" s="224"/>
    </row>
    <row r="181" spans="7:10" x14ac:dyDescent="0.2">
      <c r="G181" s="224"/>
      <c r="H181" s="224"/>
      <c r="I181" s="224"/>
      <c r="J181" s="224"/>
    </row>
    <row r="182" spans="7:10" x14ac:dyDescent="0.2">
      <c r="G182" s="224"/>
      <c r="H182" s="224"/>
      <c r="I182" s="224"/>
      <c r="J182" s="224"/>
    </row>
    <row r="183" spans="7:10" x14ac:dyDescent="0.2">
      <c r="G183" s="224"/>
      <c r="H183" s="224"/>
      <c r="I183" s="224"/>
      <c r="J183" s="224"/>
    </row>
    <row r="184" spans="7:10" x14ac:dyDescent="0.2">
      <c r="G184" s="224"/>
      <c r="H184" s="224"/>
      <c r="I184" s="224"/>
      <c r="J184" s="224"/>
    </row>
    <row r="185" spans="7:10" x14ac:dyDescent="0.2">
      <c r="G185" s="224"/>
      <c r="H185" s="224"/>
      <c r="I185" s="224"/>
      <c r="J185" s="224"/>
    </row>
    <row r="186" spans="7:10" x14ac:dyDescent="0.2">
      <c r="G186" s="224"/>
      <c r="H186" s="224"/>
      <c r="I186" s="224"/>
      <c r="J186" s="224"/>
    </row>
    <row r="187" spans="7:10" x14ac:dyDescent="0.2">
      <c r="G187" s="224"/>
      <c r="H187" s="224"/>
      <c r="I187" s="224"/>
      <c r="J187" s="224"/>
    </row>
    <row r="188" spans="7:10" x14ac:dyDescent="0.2">
      <c r="G188" s="224"/>
      <c r="H188" s="224"/>
      <c r="I188" s="224"/>
      <c r="J188" s="224"/>
    </row>
    <row r="189" spans="7:10" x14ac:dyDescent="0.2">
      <c r="G189" s="224"/>
      <c r="H189" s="224"/>
      <c r="I189" s="224"/>
      <c r="J189" s="224"/>
    </row>
    <row r="190" spans="7:10" x14ac:dyDescent="0.2">
      <c r="G190" s="224"/>
      <c r="H190" s="224"/>
      <c r="I190" s="224"/>
      <c r="J190" s="224"/>
    </row>
    <row r="191" spans="7:10" x14ac:dyDescent="0.2">
      <c r="G191" s="224"/>
      <c r="H191" s="224"/>
      <c r="I191" s="224"/>
    </row>
    <row r="192" spans="7:10" x14ac:dyDescent="0.2">
      <c r="G192" s="224"/>
      <c r="H192" s="224"/>
      <c r="I192" s="224"/>
    </row>
    <row r="193" spans="7:9" x14ac:dyDescent="0.2">
      <c r="G193" s="224"/>
      <c r="H193" s="224"/>
      <c r="I193" s="224"/>
    </row>
    <row r="194" spans="7:9" x14ac:dyDescent="0.2">
      <c r="G194" s="224"/>
      <c r="H194" s="224"/>
      <c r="I194" s="224"/>
    </row>
    <row r="195" spans="7:9" x14ac:dyDescent="0.2">
      <c r="I195" s="413"/>
    </row>
    <row r="196" spans="7:9" x14ac:dyDescent="0.2">
      <c r="I196" s="413"/>
    </row>
    <row r="197" spans="7:9" x14ac:dyDescent="0.2">
      <c r="I197" s="413"/>
    </row>
    <row r="198" spans="7:9" x14ac:dyDescent="0.2">
      <c r="I198" s="413"/>
    </row>
    <row r="199" spans="7:9" x14ac:dyDescent="0.2">
      <c r="I199" s="413"/>
    </row>
    <row r="200" spans="7:9" x14ac:dyDescent="0.2">
      <c r="I200" s="413"/>
    </row>
    <row r="201" spans="7:9" x14ac:dyDescent="0.2">
      <c r="I201" s="413"/>
    </row>
    <row r="202" spans="7:9" x14ac:dyDescent="0.2">
      <c r="I202" s="413"/>
    </row>
    <row r="203" spans="7:9" x14ac:dyDescent="0.2">
      <c r="I203" s="413"/>
    </row>
    <row r="204" spans="7:9" x14ac:dyDescent="0.2">
      <c r="I204" s="413"/>
    </row>
    <row r="205" spans="7:9" x14ac:dyDescent="0.2">
      <c r="I205" s="413"/>
    </row>
    <row r="206" spans="7:9" x14ac:dyDescent="0.2">
      <c r="I206" s="413"/>
    </row>
    <row r="207" spans="7:9" x14ac:dyDescent="0.2">
      <c r="I207" s="413"/>
    </row>
    <row r="208" spans="7:9" x14ac:dyDescent="0.2">
      <c r="I208" s="413"/>
    </row>
    <row r="209" spans="9:9" x14ac:dyDescent="0.2">
      <c r="I209" s="413"/>
    </row>
    <row r="210" spans="9:9" x14ac:dyDescent="0.2">
      <c r="I210" s="413"/>
    </row>
    <row r="211" spans="9:9" x14ac:dyDescent="0.2">
      <c r="I211" s="413"/>
    </row>
    <row r="212" spans="9:9" x14ac:dyDescent="0.2">
      <c r="I212" s="413"/>
    </row>
    <row r="213" spans="9:9" x14ac:dyDescent="0.2">
      <c r="I213" s="413"/>
    </row>
    <row r="214" spans="9:9" x14ac:dyDescent="0.2">
      <c r="I214" s="413"/>
    </row>
    <row r="215" spans="9:9" x14ac:dyDescent="0.2">
      <c r="I215" s="413"/>
    </row>
    <row r="216" spans="9:9" x14ac:dyDescent="0.2">
      <c r="I216" s="413"/>
    </row>
    <row r="217" spans="9:9" x14ac:dyDescent="0.2">
      <c r="I217" s="413"/>
    </row>
    <row r="218" spans="9:9" x14ac:dyDescent="0.2">
      <c r="I218" s="413"/>
    </row>
    <row r="219" spans="9:9" x14ac:dyDescent="0.2">
      <c r="I219" s="413"/>
    </row>
    <row r="220" spans="9:9" x14ac:dyDescent="0.2">
      <c r="I220" s="413"/>
    </row>
    <row r="221" spans="9:9" x14ac:dyDescent="0.2">
      <c r="I221" s="413"/>
    </row>
    <row r="222" spans="9:9" x14ac:dyDescent="0.2">
      <c r="I222" s="413"/>
    </row>
    <row r="223" spans="9:9" x14ac:dyDescent="0.2">
      <c r="I223" s="413"/>
    </row>
    <row r="224" spans="9:9" x14ac:dyDescent="0.2">
      <c r="I224" s="413"/>
    </row>
    <row r="225" spans="9:9" x14ac:dyDescent="0.2">
      <c r="I225" s="413"/>
    </row>
    <row r="226" spans="9:9" x14ac:dyDescent="0.2">
      <c r="I226" s="413"/>
    </row>
    <row r="227" spans="9:9" x14ac:dyDescent="0.2">
      <c r="I227" s="413"/>
    </row>
    <row r="228" spans="9:9" x14ac:dyDescent="0.2">
      <c r="I228" s="413"/>
    </row>
    <row r="229" spans="9:9" x14ac:dyDescent="0.2">
      <c r="I229" s="413"/>
    </row>
    <row r="230" spans="9:9" x14ac:dyDescent="0.2">
      <c r="I230" s="413"/>
    </row>
    <row r="231" spans="9:9" x14ac:dyDescent="0.2">
      <c r="I231" s="413"/>
    </row>
    <row r="232" spans="9:9" x14ac:dyDescent="0.2">
      <c r="I232" s="413"/>
    </row>
    <row r="233" spans="9:9" x14ac:dyDescent="0.2">
      <c r="I233" s="413"/>
    </row>
    <row r="234" spans="9:9" x14ac:dyDescent="0.2">
      <c r="I234" s="413"/>
    </row>
    <row r="235" spans="9:9" x14ac:dyDescent="0.2">
      <c r="I235" s="413"/>
    </row>
    <row r="236" spans="9:9" x14ac:dyDescent="0.2">
      <c r="I236" s="413"/>
    </row>
    <row r="237" spans="9:9" x14ac:dyDescent="0.2">
      <c r="I237" s="413"/>
    </row>
    <row r="238" spans="9:9" x14ac:dyDescent="0.2">
      <c r="I238" s="413"/>
    </row>
    <row r="239" spans="9:9" x14ac:dyDescent="0.2">
      <c r="I239" s="413"/>
    </row>
    <row r="240" spans="9:9" x14ac:dyDescent="0.2">
      <c r="I240" s="413"/>
    </row>
    <row r="241" spans="9:9" x14ac:dyDescent="0.2">
      <c r="I241" s="413"/>
    </row>
    <row r="242" spans="9:9" x14ac:dyDescent="0.2">
      <c r="I242" s="413"/>
    </row>
    <row r="243" spans="9:9" x14ac:dyDescent="0.2">
      <c r="I243" s="413"/>
    </row>
    <row r="244" spans="9:9" x14ac:dyDescent="0.2">
      <c r="I244" s="413"/>
    </row>
    <row r="245" spans="9:9" x14ac:dyDescent="0.2">
      <c r="I245" s="413"/>
    </row>
    <row r="246" spans="9:9" x14ac:dyDescent="0.2">
      <c r="I246" s="413"/>
    </row>
    <row r="247" spans="9:9" x14ac:dyDescent="0.2">
      <c r="I247" s="413"/>
    </row>
    <row r="248" spans="9:9" x14ac:dyDescent="0.2">
      <c r="I248" s="413"/>
    </row>
    <row r="249" spans="9:9" x14ac:dyDescent="0.2">
      <c r="I249" s="413"/>
    </row>
    <row r="250" spans="9:9" x14ac:dyDescent="0.2">
      <c r="I250" s="413"/>
    </row>
    <row r="251" spans="9:9" x14ac:dyDescent="0.2">
      <c r="I251" s="413"/>
    </row>
    <row r="252" spans="9:9" x14ac:dyDescent="0.2">
      <c r="I252" s="413"/>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1" manualBreakCount="1">
    <brk id="119" max="9"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234"/>
  <sheetViews>
    <sheetView view="pageBreakPreview" zoomScaleNormal="100" zoomScaleSheetLayoutView="100" workbookViewId="0">
      <pane ySplit="5" topLeftCell="A130" activePane="bottomLeft" state="frozen"/>
      <selection activeCell="D43" sqref="D43"/>
      <selection pane="bottomLeft" activeCell="J6" sqref="J6:J147"/>
    </sheetView>
  </sheetViews>
  <sheetFormatPr defaultColWidth="8.85546875" defaultRowHeight="12.75" customHeight="1" x14ac:dyDescent="0.2"/>
  <cols>
    <col min="1" max="1" width="44.42578125" style="348" customWidth="1"/>
    <col min="2" max="2" width="9.5703125" style="348" bestFit="1" customWidth="1"/>
    <col min="3" max="3" width="10.140625" style="348" customWidth="1"/>
    <col min="4" max="4" width="12" style="348" customWidth="1"/>
    <col min="5" max="6" width="9.140625" style="348" bestFit="1" customWidth="1"/>
    <col min="7" max="7" width="11" style="3" bestFit="1" customWidth="1"/>
    <col min="8" max="8" width="14.140625" style="3" bestFit="1" customWidth="1"/>
    <col min="9" max="10" width="9.5703125" style="348" customWidth="1"/>
    <col min="11" max="16384" width="8.85546875" style="348"/>
  </cols>
  <sheetData>
    <row r="1" spans="1:10" x14ac:dyDescent="0.2">
      <c r="A1" s="562" t="str">
        <f>'SUMMARY BY FUND'!A1:J1</f>
        <v>2023-24 BUDGET</v>
      </c>
      <c r="B1" s="562"/>
      <c r="C1" s="562"/>
      <c r="D1" s="562"/>
      <c r="E1" s="562"/>
      <c r="F1" s="562"/>
      <c r="G1" s="562"/>
      <c r="H1" s="562"/>
      <c r="I1" s="562"/>
      <c r="J1" s="562"/>
    </row>
    <row r="2" spans="1:10" ht="18.75" x14ac:dyDescent="0.3">
      <c r="A2" s="202" t="s">
        <v>1876</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19" t="s">
        <v>2163</v>
      </c>
      <c r="F5" s="419" t="s">
        <v>2290</v>
      </c>
      <c r="G5" s="419" t="s">
        <v>2507</v>
      </c>
      <c r="H5" s="419" t="s">
        <v>2507</v>
      </c>
      <c r="I5" s="419" t="s">
        <v>2507</v>
      </c>
      <c r="J5" s="419" t="s">
        <v>2507</v>
      </c>
    </row>
    <row r="6" spans="1:10" ht="13.5" x14ac:dyDescent="0.25">
      <c r="A6" s="417" t="s">
        <v>1224</v>
      </c>
      <c r="B6" s="3"/>
      <c r="C6" s="15"/>
      <c r="D6" s="3"/>
      <c r="E6" s="3">
        <v>45050</v>
      </c>
      <c r="F6" s="65">
        <v>45292</v>
      </c>
      <c r="G6" s="65">
        <v>45323</v>
      </c>
      <c r="H6" s="65">
        <v>45323</v>
      </c>
      <c r="I6" s="65">
        <v>46904</v>
      </c>
      <c r="J6" s="65"/>
    </row>
    <row r="7" spans="1:10" ht="15" x14ac:dyDescent="0.35">
      <c r="A7" s="416" t="s">
        <v>133</v>
      </c>
      <c r="B7" s="3">
        <v>52</v>
      </c>
      <c r="C7" s="3">
        <v>902</v>
      </c>
      <c r="D7" s="14">
        <f>ROUND(B7*C7,0)</f>
        <v>46904</v>
      </c>
      <c r="E7" s="3"/>
      <c r="F7" s="3"/>
      <c r="I7" s="3"/>
      <c r="J7" s="3"/>
    </row>
    <row r="8" spans="1:10" x14ac:dyDescent="0.2">
      <c r="A8" s="416" t="s">
        <v>1320</v>
      </c>
      <c r="B8" s="3"/>
      <c r="C8" s="3"/>
      <c r="D8" s="3">
        <f>SUM(D7:D7)</f>
        <v>46904</v>
      </c>
      <c r="E8" s="3"/>
      <c r="F8" s="3"/>
      <c r="I8" s="3"/>
      <c r="J8" s="3"/>
    </row>
    <row r="9" spans="1:10" x14ac:dyDescent="0.2">
      <c r="A9" s="416"/>
      <c r="B9" s="3"/>
      <c r="C9" s="3"/>
      <c r="D9" s="3"/>
      <c r="E9" s="3"/>
      <c r="F9" s="3"/>
      <c r="I9" s="3"/>
      <c r="J9" s="3"/>
    </row>
    <row r="10" spans="1:10" ht="13.5" x14ac:dyDescent="0.25">
      <c r="A10" s="417" t="s">
        <v>1225</v>
      </c>
      <c r="B10" s="3"/>
      <c r="C10" s="3"/>
      <c r="D10" s="3"/>
      <c r="E10" s="3">
        <v>81531</v>
      </c>
      <c r="F10" s="3">
        <v>82831</v>
      </c>
      <c r="G10" s="3">
        <v>82862</v>
      </c>
      <c r="H10" s="3">
        <v>82862</v>
      </c>
      <c r="I10" s="3">
        <v>85576</v>
      </c>
      <c r="J10" s="3"/>
    </row>
    <row r="11" spans="1:10" x14ac:dyDescent="0.2">
      <c r="A11" s="416" t="s">
        <v>411</v>
      </c>
      <c r="B11" s="3">
        <v>52</v>
      </c>
      <c r="C11" s="3">
        <v>1637</v>
      </c>
      <c r="D11" s="3">
        <f>ROUND(B11*C11,0)</f>
        <v>85124</v>
      </c>
      <c r="E11" s="3"/>
      <c r="F11" s="3"/>
      <c r="I11" s="3"/>
      <c r="J11" s="3"/>
    </row>
    <row r="12" spans="1:10" ht="15" x14ac:dyDescent="0.35">
      <c r="A12" s="416" t="s">
        <v>1039</v>
      </c>
      <c r="B12" s="3"/>
      <c r="C12" s="3"/>
      <c r="D12" s="14">
        <v>452</v>
      </c>
      <c r="E12" s="3"/>
      <c r="F12" s="75"/>
      <c r="G12" s="75"/>
      <c r="H12" s="75"/>
      <c r="I12" s="75"/>
      <c r="J12" s="75"/>
    </row>
    <row r="13" spans="1:10" x14ac:dyDescent="0.2">
      <c r="A13" s="416" t="s">
        <v>1320</v>
      </c>
      <c r="B13" s="3"/>
      <c r="C13" s="3"/>
      <c r="D13" s="3">
        <f>SUM(D11:D12)</f>
        <v>85576</v>
      </c>
      <c r="E13" s="3"/>
      <c r="F13" s="3"/>
      <c r="I13" s="3"/>
      <c r="J13" s="3"/>
    </row>
    <row r="14" spans="1:10" x14ac:dyDescent="0.2">
      <c r="A14" s="416"/>
      <c r="B14" s="3"/>
      <c r="C14" s="3"/>
      <c r="D14" s="3"/>
      <c r="E14" s="3"/>
      <c r="F14" s="3"/>
      <c r="I14" s="3"/>
      <c r="J14" s="3"/>
    </row>
    <row r="15" spans="1:10" ht="13.5" x14ac:dyDescent="0.25">
      <c r="A15" s="417" t="s">
        <v>1226</v>
      </c>
      <c r="B15" s="3"/>
      <c r="C15" s="3"/>
      <c r="D15" s="3"/>
      <c r="E15" s="3">
        <v>134830</v>
      </c>
      <c r="F15" s="3">
        <v>134212</v>
      </c>
      <c r="G15" s="3">
        <v>134264</v>
      </c>
      <c r="H15" s="3">
        <v>134264</v>
      </c>
      <c r="I15" s="3">
        <v>138996</v>
      </c>
      <c r="J15" s="3"/>
    </row>
    <row r="16" spans="1:10" x14ac:dyDescent="0.2">
      <c r="A16" s="416" t="s">
        <v>667</v>
      </c>
      <c r="B16" s="3">
        <v>52</v>
      </c>
      <c r="C16" s="3">
        <v>1295</v>
      </c>
      <c r="D16" s="3">
        <f>ROUND(B16*C16,0)</f>
        <v>67340</v>
      </c>
      <c r="E16" s="3"/>
      <c r="F16" s="3"/>
      <c r="I16" s="3"/>
      <c r="J16" s="3"/>
    </row>
    <row r="17" spans="1:11" x14ac:dyDescent="0.2">
      <c r="A17" s="416" t="s">
        <v>646</v>
      </c>
      <c r="B17" s="3">
        <v>52</v>
      </c>
      <c r="C17" s="3">
        <v>1378</v>
      </c>
      <c r="D17" s="3">
        <f>ROUND(B17*C17,0)</f>
        <v>71656</v>
      </c>
      <c r="E17" s="3"/>
      <c r="F17" s="3"/>
      <c r="I17" s="3"/>
      <c r="J17" s="3"/>
    </row>
    <row r="18" spans="1:11" ht="15" x14ac:dyDescent="0.35">
      <c r="A18" s="416" t="s">
        <v>1039</v>
      </c>
      <c r="B18" s="3">
        <v>0</v>
      </c>
      <c r="C18" s="3">
        <v>0</v>
      </c>
      <c r="D18" s="14">
        <f>ROUND(B18*C18,0)</f>
        <v>0</v>
      </c>
      <c r="E18" s="3"/>
      <c r="F18" s="65"/>
      <c r="G18" s="65"/>
      <c r="H18" s="65"/>
      <c r="I18" s="65"/>
      <c r="J18" s="65"/>
    </row>
    <row r="19" spans="1:11" x14ac:dyDescent="0.2">
      <c r="A19" s="416" t="s">
        <v>1320</v>
      </c>
      <c r="B19" s="3"/>
      <c r="C19" s="3"/>
      <c r="D19" s="3">
        <f>SUM(D16:D18)</f>
        <v>138996</v>
      </c>
      <c r="E19" s="3"/>
      <c r="F19" s="3"/>
      <c r="I19" s="3"/>
      <c r="J19" s="3"/>
    </row>
    <row r="20" spans="1:11" x14ac:dyDescent="0.2">
      <c r="A20" s="416"/>
      <c r="B20" s="416"/>
      <c r="C20" s="491"/>
      <c r="D20" s="3"/>
      <c r="E20" s="3"/>
      <c r="F20" s="3"/>
      <c r="I20" s="3"/>
      <c r="J20" s="3"/>
    </row>
    <row r="21" spans="1:11" ht="13.5" x14ac:dyDescent="0.25">
      <c r="A21" s="417" t="s">
        <v>1227</v>
      </c>
      <c r="B21" s="416"/>
      <c r="C21" s="491"/>
      <c r="D21" s="3"/>
      <c r="E21" s="3">
        <v>55489</v>
      </c>
      <c r="F21" s="3">
        <v>38771</v>
      </c>
      <c r="G21" s="3">
        <v>38785</v>
      </c>
      <c r="H21" s="3">
        <v>38785</v>
      </c>
      <c r="I21" s="3">
        <v>39790</v>
      </c>
      <c r="J21" s="3"/>
      <c r="K21" s="3">
        <f>+I21-H21</f>
        <v>1005</v>
      </c>
    </row>
    <row r="22" spans="1:11" s="403" customFormat="1" x14ac:dyDescent="0.2">
      <c r="A22" s="27" t="s">
        <v>2493</v>
      </c>
      <c r="B22" s="416"/>
      <c r="C22" s="491"/>
      <c r="D22" s="3">
        <v>10000</v>
      </c>
      <c r="E22" s="3"/>
      <c r="F22" s="3"/>
      <c r="G22" s="3"/>
      <c r="H22" s="3"/>
      <c r="I22" s="3"/>
      <c r="J22" s="3"/>
      <c r="K22" s="3">
        <f t="shared" ref="K22:K62" si="0">+I22-H22</f>
        <v>0</v>
      </c>
    </row>
    <row r="23" spans="1:11" ht="15" x14ac:dyDescent="0.35">
      <c r="A23" s="416" t="s">
        <v>2657</v>
      </c>
      <c r="B23" s="3">
        <v>1456</v>
      </c>
      <c r="C23" s="15">
        <v>20.46</v>
      </c>
      <c r="D23" s="14">
        <f>ROUND(B23*C23,0)</f>
        <v>29790</v>
      </c>
      <c r="E23" s="3"/>
      <c r="F23" s="65"/>
      <c r="G23" s="65"/>
      <c r="H23" s="65"/>
      <c r="I23" s="65"/>
      <c r="J23" s="65"/>
      <c r="K23" s="3">
        <f t="shared" si="0"/>
        <v>0</v>
      </c>
    </row>
    <row r="24" spans="1:11" x14ac:dyDescent="0.2">
      <c r="A24" s="416" t="s">
        <v>1320</v>
      </c>
      <c r="B24" s="3"/>
      <c r="C24" s="15"/>
      <c r="D24" s="3">
        <f>SUM(D22:D23)</f>
        <v>39790</v>
      </c>
      <c r="E24" s="3"/>
      <c r="F24" s="3"/>
      <c r="I24" s="3"/>
      <c r="J24" s="3"/>
      <c r="K24" s="3">
        <f t="shared" si="0"/>
        <v>0</v>
      </c>
    </row>
    <row r="25" spans="1:11" x14ac:dyDescent="0.2">
      <c r="A25" s="416"/>
      <c r="B25" s="416"/>
      <c r="C25" s="416"/>
      <c r="D25" s="3"/>
      <c r="E25" s="3"/>
      <c r="F25" s="3"/>
      <c r="I25" s="3"/>
      <c r="J25" s="3"/>
      <c r="K25" s="3">
        <f t="shared" si="0"/>
        <v>0</v>
      </c>
    </row>
    <row r="26" spans="1:11" ht="13.5" x14ac:dyDescent="0.25">
      <c r="A26" s="55" t="s">
        <v>94</v>
      </c>
      <c r="B26" s="3"/>
      <c r="C26" s="15"/>
      <c r="D26" s="3"/>
      <c r="E26" s="3">
        <v>2859</v>
      </c>
      <c r="F26" s="3">
        <v>5751</v>
      </c>
      <c r="G26" s="3">
        <v>5754</v>
      </c>
      <c r="H26" s="3">
        <v>5754</v>
      </c>
      <c r="I26" s="3">
        <v>5956</v>
      </c>
      <c r="J26" s="3"/>
      <c r="K26" s="3">
        <f t="shared" si="0"/>
        <v>202</v>
      </c>
    </row>
    <row r="27" spans="1:11" x14ac:dyDescent="0.2">
      <c r="A27" s="54" t="s">
        <v>1742</v>
      </c>
      <c r="B27" s="3">
        <v>102</v>
      </c>
      <c r="C27" s="15">
        <f>+C7/40*1.5</f>
        <v>33.825000000000003</v>
      </c>
      <c r="D27" s="3">
        <f>C27*B27</f>
        <v>3450.15</v>
      </c>
      <c r="E27" s="3"/>
      <c r="F27" s="3"/>
      <c r="I27" s="3"/>
      <c r="J27" s="3"/>
      <c r="K27" s="3">
        <f t="shared" si="0"/>
        <v>0</v>
      </c>
    </row>
    <row r="28" spans="1:11" ht="15" x14ac:dyDescent="0.35">
      <c r="A28" s="54" t="s">
        <v>2494</v>
      </c>
      <c r="B28" s="3">
        <v>50</v>
      </c>
      <c r="C28" s="15">
        <f>(+C16+C17)/40/2*1.5</f>
        <v>50.118750000000006</v>
      </c>
      <c r="D28" s="14">
        <f>C28*B28</f>
        <v>2505.9375000000005</v>
      </c>
      <c r="E28" s="3"/>
      <c r="F28" s="3"/>
      <c r="I28" s="3"/>
      <c r="J28" s="3"/>
      <c r="K28" s="3">
        <f t="shared" si="0"/>
        <v>0</v>
      </c>
    </row>
    <row r="29" spans="1:11" x14ac:dyDescent="0.2">
      <c r="A29" s="416" t="s">
        <v>1320</v>
      </c>
      <c r="B29" s="3"/>
      <c r="C29" s="15"/>
      <c r="D29" s="3">
        <f>SUM(D27:D28)</f>
        <v>5956.0875000000005</v>
      </c>
      <c r="E29" s="3"/>
      <c r="F29" s="3"/>
      <c r="I29" s="3"/>
      <c r="J29" s="3"/>
      <c r="K29" s="3">
        <f t="shared" si="0"/>
        <v>0</v>
      </c>
    </row>
    <row r="30" spans="1:11" x14ac:dyDescent="0.2">
      <c r="A30" s="19"/>
      <c r="B30" s="3"/>
      <c r="C30" s="15"/>
      <c r="D30" s="3"/>
      <c r="E30" s="3"/>
      <c r="F30" s="3"/>
      <c r="I30" s="3"/>
      <c r="J30" s="3"/>
      <c r="K30" s="3">
        <f t="shared" si="0"/>
        <v>0</v>
      </c>
    </row>
    <row r="31" spans="1:11" ht="13.5" x14ac:dyDescent="0.25">
      <c r="A31" s="417" t="s">
        <v>1228</v>
      </c>
      <c r="B31" s="76"/>
      <c r="C31" s="416"/>
      <c r="D31" s="3"/>
      <c r="E31" s="3">
        <v>26509</v>
      </c>
      <c r="F31" s="3">
        <v>22710</v>
      </c>
      <c r="G31" s="3">
        <v>22718</v>
      </c>
      <c r="H31" s="3">
        <v>22718</v>
      </c>
      <c r="I31" s="3">
        <v>23425</v>
      </c>
      <c r="J31" s="3"/>
      <c r="K31" s="3">
        <f t="shared" si="0"/>
        <v>707</v>
      </c>
    </row>
    <row r="32" spans="1:11" x14ac:dyDescent="0.2">
      <c r="A32" s="16" t="s">
        <v>1321</v>
      </c>
      <c r="B32" s="3">
        <f>D8</f>
        <v>46904</v>
      </c>
      <c r="C32" s="17">
        <v>7.6499999999999999E-2</v>
      </c>
      <c r="D32" s="3">
        <f>ROUND(B32*C32,0)</f>
        <v>3588</v>
      </c>
      <c r="E32" s="3"/>
      <c r="F32" s="3"/>
      <c r="I32" s="3"/>
      <c r="J32" s="3"/>
      <c r="K32" s="3">
        <f t="shared" si="0"/>
        <v>0</v>
      </c>
    </row>
    <row r="33" spans="1:11" x14ac:dyDescent="0.2">
      <c r="A33" s="16" t="s">
        <v>1322</v>
      </c>
      <c r="B33" s="3">
        <f>+D13</f>
        <v>85576</v>
      </c>
      <c r="C33" s="17">
        <v>7.6499999999999999E-2</v>
      </c>
      <c r="D33" s="3">
        <f>ROUND(B33*C33,0)</f>
        <v>6547</v>
      </c>
      <c r="E33" s="3"/>
      <c r="F33" s="3"/>
      <c r="I33" s="3"/>
      <c r="J33" s="3"/>
      <c r="K33" s="3">
        <f t="shared" si="0"/>
        <v>0</v>
      </c>
    </row>
    <row r="34" spans="1:11" x14ac:dyDescent="0.2">
      <c r="A34" s="16" t="s">
        <v>1323</v>
      </c>
      <c r="B34" s="3">
        <f>+D19</f>
        <v>138996</v>
      </c>
      <c r="C34" s="17">
        <v>7.6499999999999999E-2</v>
      </c>
      <c r="D34" s="3">
        <f>ROUND(B34*C34,0)</f>
        <v>10633</v>
      </c>
      <c r="E34" s="3"/>
      <c r="F34" s="3"/>
      <c r="I34" s="3"/>
      <c r="J34" s="3"/>
      <c r="K34" s="3">
        <f t="shared" si="0"/>
        <v>0</v>
      </c>
    </row>
    <row r="35" spans="1:11" x14ac:dyDescent="0.2">
      <c r="A35" s="16" t="s">
        <v>1324</v>
      </c>
      <c r="B35" s="3">
        <v>28771</v>
      </c>
      <c r="C35" s="17">
        <v>7.6499999999999999E-2</v>
      </c>
      <c r="D35" s="3">
        <f>ROUND(B35*C35,0)</f>
        <v>2201</v>
      </c>
      <c r="E35" s="3"/>
      <c r="F35" s="3"/>
      <c r="I35" s="3"/>
      <c r="J35" s="3"/>
      <c r="K35" s="3">
        <f t="shared" si="0"/>
        <v>0</v>
      </c>
    </row>
    <row r="36" spans="1:11" ht="15" x14ac:dyDescent="0.35">
      <c r="A36" s="16" t="s">
        <v>1464</v>
      </c>
      <c r="B36" s="3">
        <f>+D29</f>
        <v>5956.0875000000005</v>
      </c>
      <c r="C36" s="17">
        <v>7.6499999999999999E-2</v>
      </c>
      <c r="D36" s="14">
        <f>ROUND(B36*C36,0)</f>
        <v>456</v>
      </c>
      <c r="E36" s="3"/>
      <c r="F36" s="3"/>
      <c r="I36" s="3"/>
      <c r="J36" s="3"/>
      <c r="K36" s="3">
        <f t="shared" si="0"/>
        <v>0</v>
      </c>
    </row>
    <row r="37" spans="1:11" x14ac:dyDescent="0.2">
      <c r="A37" s="416" t="s">
        <v>1320</v>
      </c>
      <c r="B37" s="3"/>
      <c r="C37" s="17"/>
      <c r="D37" s="3">
        <f>SUM(D32:D36)</f>
        <v>23425</v>
      </c>
      <c r="E37" s="3"/>
      <c r="F37" s="3"/>
      <c r="I37" s="3"/>
      <c r="J37" s="3"/>
      <c r="K37" s="3">
        <f t="shared" si="0"/>
        <v>0</v>
      </c>
    </row>
    <row r="38" spans="1:11" x14ac:dyDescent="0.2">
      <c r="A38" s="416"/>
      <c r="B38" s="416"/>
      <c r="C38" s="416"/>
      <c r="D38" s="3"/>
      <c r="E38" s="3"/>
      <c r="F38" s="3"/>
      <c r="I38" s="3"/>
      <c r="J38" s="3"/>
      <c r="K38" s="3">
        <f t="shared" si="0"/>
        <v>0</v>
      </c>
    </row>
    <row r="39" spans="1:11" ht="13.5" x14ac:dyDescent="0.25">
      <c r="A39" s="18" t="s">
        <v>1229</v>
      </c>
      <c r="B39" s="416"/>
      <c r="C39" s="416"/>
      <c r="D39" s="3"/>
      <c r="E39" s="3">
        <v>37157</v>
      </c>
      <c r="F39" s="3">
        <v>37693</v>
      </c>
      <c r="G39" s="3">
        <v>36288</v>
      </c>
      <c r="H39" s="3">
        <v>36288</v>
      </c>
      <c r="I39" s="3">
        <v>37536</v>
      </c>
      <c r="J39" s="3"/>
      <c r="K39" s="3">
        <f t="shared" si="0"/>
        <v>1248</v>
      </c>
    </row>
    <row r="40" spans="1:11" x14ac:dyDescent="0.2">
      <c r="A40" s="16" t="s">
        <v>1321</v>
      </c>
      <c r="B40" s="3">
        <f>D8</f>
        <v>46904</v>
      </c>
      <c r="C40" s="507">
        <v>0.1353</v>
      </c>
      <c r="D40" s="3">
        <f>ROUND(B40*C40,0)</f>
        <v>6346</v>
      </c>
      <c r="E40" s="3"/>
      <c r="F40" s="3"/>
      <c r="I40" s="3"/>
      <c r="J40" s="3"/>
      <c r="K40" s="3">
        <f t="shared" si="0"/>
        <v>0</v>
      </c>
    </row>
    <row r="41" spans="1:11" x14ac:dyDescent="0.2">
      <c r="A41" s="16" t="s">
        <v>1322</v>
      </c>
      <c r="B41" s="3">
        <f>+D13</f>
        <v>85576</v>
      </c>
      <c r="C41" s="507">
        <v>0.1353</v>
      </c>
      <c r="D41" s="3">
        <f>ROUND(B41*C41,0)</f>
        <v>11578</v>
      </c>
      <c r="E41" s="3"/>
      <c r="F41" s="3"/>
      <c r="I41" s="3"/>
      <c r="J41" s="3"/>
      <c r="K41" s="3">
        <f t="shared" si="0"/>
        <v>0</v>
      </c>
    </row>
    <row r="42" spans="1:11" x14ac:dyDescent="0.2">
      <c r="A42" s="16" t="s">
        <v>1323</v>
      </c>
      <c r="B42" s="3">
        <f>+D19</f>
        <v>138996</v>
      </c>
      <c r="C42" s="507">
        <v>0.1353</v>
      </c>
      <c r="D42" s="3">
        <f>ROUND(B42*C42,0)</f>
        <v>18806</v>
      </c>
      <c r="E42" s="3"/>
      <c r="F42" s="3"/>
      <c r="I42" s="3"/>
      <c r="J42" s="3"/>
      <c r="K42" s="3">
        <f t="shared" si="0"/>
        <v>0</v>
      </c>
    </row>
    <row r="43" spans="1:11" ht="15" x14ac:dyDescent="0.35">
      <c r="A43" s="16" t="s">
        <v>1743</v>
      </c>
      <c r="B43" s="3">
        <f>+D29</f>
        <v>5956.0875000000005</v>
      </c>
      <c r="C43" s="507">
        <v>0.1353</v>
      </c>
      <c r="D43" s="14">
        <f>ROUND(B43*C43,0)</f>
        <v>806</v>
      </c>
      <c r="E43" s="3"/>
      <c r="F43" s="65"/>
      <c r="G43" s="65"/>
      <c r="H43" s="65"/>
      <c r="I43" s="65"/>
      <c r="J43" s="65"/>
      <c r="K43" s="3">
        <f t="shared" si="0"/>
        <v>0</v>
      </c>
    </row>
    <row r="44" spans="1:11" x14ac:dyDescent="0.2">
      <c r="A44" s="491" t="s">
        <v>1320</v>
      </c>
      <c r="B44" s="491"/>
      <c r="C44" s="491"/>
      <c r="D44" s="3">
        <f>SUM(D40:D43)</f>
        <v>37536</v>
      </c>
      <c r="E44" s="3"/>
      <c r="F44" s="65"/>
      <c r="G44" s="65"/>
      <c r="H44" s="65"/>
      <c r="I44" s="65"/>
      <c r="J44" s="65"/>
      <c r="K44" s="3">
        <f t="shared" si="0"/>
        <v>0</v>
      </c>
    </row>
    <row r="45" spans="1:11" x14ac:dyDescent="0.2">
      <c r="A45" s="491"/>
      <c r="B45" s="491"/>
      <c r="C45" s="491"/>
      <c r="D45" s="3"/>
      <c r="E45" s="3"/>
      <c r="F45" s="3"/>
      <c r="I45" s="3"/>
      <c r="J45" s="3"/>
      <c r="K45" s="3">
        <f t="shared" si="0"/>
        <v>0</v>
      </c>
    </row>
    <row r="46" spans="1:11" ht="13.5" x14ac:dyDescent="0.25">
      <c r="A46" s="494" t="s">
        <v>1230</v>
      </c>
      <c r="B46" s="491"/>
      <c r="C46" s="491"/>
      <c r="D46" s="3"/>
      <c r="E46" s="3">
        <v>75637</v>
      </c>
      <c r="F46" s="3">
        <v>76000</v>
      </c>
      <c r="G46" s="3">
        <v>81000</v>
      </c>
      <c r="H46" s="3">
        <v>81000</v>
      </c>
      <c r="I46" s="3">
        <v>81000</v>
      </c>
      <c r="J46" s="3"/>
      <c r="K46" s="3">
        <f t="shared" si="0"/>
        <v>0</v>
      </c>
    </row>
    <row r="47" spans="1:11" x14ac:dyDescent="0.2">
      <c r="A47" s="491" t="s">
        <v>241</v>
      </c>
      <c r="B47" s="3">
        <v>4</v>
      </c>
      <c r="C47" s="3">
        <v>20250</v>
      </c>
      <c r="D47" s="3">
        <f>ROUND(B47*C47,0)</f>
        <v>81000</v>
      </c>
      <c r="E47" s="3"/>
      <c r="F47" s="3"/>
      <c r="I47" s="3"/>
      <c r="J47" s="3"/>
      <c r="K47" s="3">
        <f t="shared" si="0"/>
        <v>0</v>
      </c>
    </row>
    <row r="48" spans="1:11" x14ac:dyDescent="0.2">
      <c r="A48" s="491"/>
      <c r="B48" s="491"/>
      <c r="C48" s="491"/>
      <c r="D48" s="3"/>
      <c r="E48" s="3"/>
      <c r="F48" s="3"/>
      <c r="I48" s="3"/>
      <c r="J48" s="3"/>
      <c r="K48" s="3">
        <f t="shared" si="0"/>
        <v>0</v>
      </c>
    </row>
    <row r="49" spans="1:11" ht="13.5" x14ac:dyDescent="0.25">
      <c r="A49" s="494" t="s">
        <v>1231</v>
      </c>
      <c r="B49" s="491"/>
      <c r="C49" s="491"/>
      <c r="D49" s="3"/>
      <c r="E49" s="3">
        <v>2902</v>
      </c>
      <c r="F49" s="65">
        <v>4950</v>
      </c>
      <c r="G49" s="65">
        <v>4950</v>
      </c>
      <c r="H49" s="65">
        <v>4950</v>
      </c>
      <c r="I49" s="65">
        <v>4950</v>
      </c>
      <c r="J49" s="65"/>
      <c r="K49" s="3">
        <f t="shared" si="0"/>
        <v>0</v>
      </c>
    </row>
    <row r="50" spans="1:11" x14ac:dyDescent="0.2">
      <c r="A50" s="491" t="s">
        <v>440</v>
      </c>
      <c r="B50" s="3">
        <v>4</v>
      </c>
      <c r="C50" s="3">
        <v>1375</v>
      </c>
      <c r="D50" s="3">
        <f>ROUND(B50*C50,0)</f>
        <v>5500</v>
      </c>
      <c r="E50" s="3"/>
      <c r="F50" s="3"/>
      <c r="I50" s="3"/>
      <c r="J50" s="3"/>
      <c r="K50" s="3">
        <f t="shared" si="0"/>
        <v>0</v>
      </c>
    </row>
    <row r="51" spans="1:11" ht="15" x14ac:dyDescent="0.35">
      <c r="A51" s="491" t="s">
        <v>243</v>
      </c>
      <c r="B51" s="3"/>
      <c r="C51" s="3"/>
      <c r="D51" s="14">
        <f>-C50*B50*0.1</f>
        <v>-550</v>
      </c>
      <c r="E51" s="3"/>
      <c r="F51" s="3"/>
      <c r="I51" s="3"/>
      <c r="J51" s="3"/>
      <c r="K51" s="3">
        <f t="shared" si="0"/>
        <v>0</v>
      </c>
    </row>
    <row r="52" spans="1:11" x14ac:dyDescent="0.2">
      <c r="A52" s="491" t="s">
        <v>877</v>
      </c>
      <c r="B52" s="3"/>
      <c r="C52" s="3"/>
      <c r="D52" s="3">
        <f>SUM(D50:D51)</f>
        <v>4950</v>
      </c>
      <c r="E52" s="3"/>
      <c r="F52" s="3"/>
      <c r="I52" s="3"/>
      <c r="J52" s="3"/>
      <c r="K52" s="3">
        <f t="shared" si="0"/>
        <v>0</v>
      </c>
    </row>
    <row r="53" spans="1:11" x14ac:dyDescent="0.2">
      <c r="A53" s="491"/>
      <c r="B53" s="491"/>
      <c r="C53" s="491"/>
      <c r="D53" s="3"/>
      <c r="E53" s="3"/>
      <c r="F53" s="3"/>
      <c r="I53" s="3"/>
      <c r="J53" s="3"/>
      <c r="K53" s="3">
        <f t="shared" si="0"/>
        <v>0</v>
      </c>
    </row>
    <row r="54" spans="1:11" ht="13.5" x14ac:dyDescent="0.25">
      <c r="A54" s="494" t="s">
        <v>1232</v>
      </c>
      <c r="B54" s="491"/>
      <c r="C54" s="491"/>
      <c r="D54" s="3"/>
      <c r="E54" s="3">
        <v>562</v>
      </c>
      <c r="F54" s="3">
        <v>540</v>
      </c>
      <c r="G54" s="3">
        <v>580</v>
      </c>
      <c r="H54" s="3">
        <v>580</v>
      </c>
      <c r="I54" s="3">
        <v>580</v>
      </c>
      <c r="J54" s="3"/>
      <c r="K54" s="3">
        <f t="shared" si="0"/>
        <v>0</v>
      </c>
    </row>
    <row r="55" spans="1:11" x14ac:dyDescent="0.2">
      <c r="A55" s="491" t="s">
        <v>440</v>
      </c>
      <c r="B55" s="3">
        <v>4</v>
      </c>
      <c r="C55" s="3">
        <v>145</v>
      </c>
      <c r="D55" s="3">
        <f>ROUND(B55*C55,0)</f>
        <v>580</v>
      </c>
      <c r="E55" s="3"/>
      <c r="F55" s="3"/>
      <c r="I55" s="3"/>
      <c r="J55" s="3"/>
      <c r="K55" s="3">
        <f t="shared" si="0"/>
        <v>0</v>
      </c>
    </row>
    <row r="56" spans="1:11" x14ac:dyDescent="0.2">
      <c r="A56" s="491"/>
      <c r="B56" s="491"/>
      <c r="C56" s="491"/>
      <c r="D56" s="3"/>
      <c r="E56" s="3"/>
      <c r="F56" s="3"/>
      <c r="I56" s="3"/>
      <c r="J56" s="3"/>
      <c r="K56" s="3">
        <f t="shared" si="0"/>
        <v>0</v>
      </c>
    </row>
    <row r="57" spans="1:11" ht="13.5" x14ac:dyDescent="0.25">
      <c r="A57" s="494" t="s">
        <v>1233</v>
      </c>
      <c r="B57" s="491"/>
      <c r="C57" s="491"/>
      <c r="D57" s="3"/>
      <c r="E57" s="3">
        <v>2599</v>
      </c>
      <c r="F57" s="3">
        <v>2100</v>
      </c>
      <c r="G57" s="3">
        <v>2260</v>
      </c>
      <c r="H57" s="3">
        <v>2260</v>
      </c>
      <c r="I57" s="3">
        <v>2260</v>
      </c>
      <c r="J57" s="3"/>
      <c r="K57" s="3">
        <f t="shared" si="0"/>
        <v>0</v>
      </c>
    </row>
    <row r="58" spans="1:11" x14ac:dyDescent="0.2">
      <c r="A58" s="491" t="s">
        <v>440</v>
      </c>
      <c r="B58" s="3">
        <v>4</v>
      </c>
      <c r="C58" s="3">
        <v>565</v>
      </c>
      <c r="D58" s="3">
        <f>ROUND(B58*C58,0)</f>
        <v>2260</v>
      </c>
      <c r="E58" s="3"/>
      <c r="F58" s="65"/>
      <c r="G58" s="65"/>
      <c r="H58" s="65"/>
      <c r="I58" s="65"/>
      <c r="J58" s="65"/>
      <c r="K58" s="3">
        <f t="shared" si="0"/>
        <v>0</v>
      </c>
    </row>
    <row r="59" spans="1:11" x14ac:dyDescent="0.2">
      <c r="A59" s="491"/>
      <c r="B59" s="491"/>
      <c r="C59" s="491"/>
      <c r="D59" s="3"/>
      <c r="E59" s="3"/>
      <c r="F59" s="4"/>
      <c r="G59" s="4"/>
      <c r="H59" s="4"/>
      <c r="I59" s="4"/>
      <c r="J59" s="4"/>
      <c r="K59" s="3">
        <f t="shared" si="0"/>
        <v>0</v>
      </c>
    </row>
    <row r="60" spans="1:11" ht="13.5" x14ac:dyDescent="0.25">
      <c r="A60" s="494" t="s">
        <v>1234</v>
      </c>
      <c r="B60" s="491"/>
      <c r="C60" s="491"/>
      <c r="D60" s="3"/>
      <c r="E60" s="3">
        <v>9298</v>
      </c>
      <c r="F60" s="4">
        <v>9879</v>
      </c>
      <c r="G60" s="4">
        <v>8591</v>
      </c>
      <c r="H60" s="4">
        <v>8591</v>
      </c>
      <c r="I60" s="4">
        <v>8852</v>
      </c>
      <c r="J60" s="4"/>
      <c r="K60" s="3">
        <f t="shared" si="0"/>
        <v>261</v>
      </c>
    </row>
    <row r="61" spans="1:11" x14ac:dyDescent="0.2">
      <c r="A61" s="16" t="s">
        <v>1321</v>
      </c>
      <c r="B61" s="3">
        <f>+D8</f>
        <v>46904</v>
      </c>
      <c r="C61" s="17">
        <v>1.89E-3</v>
      </c>
      <c r="D61" s="3">
        <f>ROUND(B61*C61,0)</f>
        <v>89</v>
      </c>
      <c r="E61" s="3"/>
      <c r="F61" s="4"/>
      <c r="G61" s="4"/>
      <c r="H61" s="4"/>
      <c r="I61" s="4"/>
      <c r="J61" s="4"/>
      <c r="K61" s="3">
        <f t="shared" si="0"/>
        <v>0</v>
      </c>
    </row>
    <row r="62" spans="1:11" x14ac:dyDescent="0.2">
      <c r="A62" s="16" t="s">
        <v>1326</v>
      </c>
      <c r="B62" s="3">
        <f>+D13</f>
        <v>85576</v>
      </c>
      <c r="C62" s="17">
        <v>3.3739999999999999E-2</v>
      </c>
      <c r="D62" s="3">
        <f>ROUND(B62*C62,0)</f>
        <v>2887</v>
      </c>
      <c r="E62" s="3"/>
      <c r="F62" s="4"/>
      <c r="G62" s="4"/>
      <c r="H62" s="4"/>
      <c r="I62" s="4"/>
      <c r="J62" s="4"/>
      <c r="K62" s="3">
        <f t="shared" si="0"/>
        <v>0</v>
      </c>
    </row>
    <row r="63" spans="1:11" x14ac:dyDescent="0.2">
      <c r="A63" s="16" t="s">
        <v>510</v>
      </c>
      <c r="B63" s="3">
        <f>+D19</f>
        <v>138996</v>
      </c>
      <c r="C63" s="17">
        <v>3.3739999999999999E-2</v>
      </c>
      <c r="D63" s="3">
        <f>ROUND(B63*C63,0)</f>
        <v>4690</v>
      </c>
      <c r="E63" s="3"/>
      <c r="F63" s="4"/>
      <c r="G63" s="4"/>
      <c r="H63" s="4"/>
      <c r="I63" s="4"/>
      <c r="J63" s="4"/>
    </row>
    <row r="64" spans="1:11" x14ac:dyDescent="0.2">
      <c r="A64" s="16" t="s">
        <v>1327</v>
      </c>
      <c r="B64" s="3">
        <v>28771</v>
      </c>
      <c r="C64" s="17">
        <v>3.3739999999999999E-2</v>
      </c>
      <c r="D64" s="3">
        <f>ROUND(B64*C64,0)</f>
        <v>971</v>
      </c>
      <c r="E64" s="3"/>
      <c r="F64" s="4"/>
      <c r="G64" s="4"/>
      <c r="H64" s="4"/>
      <c r="I64" s="4"/>
      <c r="J64" s="4"/>
    </row>
    <row r="65" spans="1:10" ht="15" x14ac:dyDescent="0.35">
      <c r="A65" s="16" t="s">
        <v>1744</v>
      </c>
      <c r="B65" s="3">
        <f>+D29</f>
        <v>5956.0875000000005</v>
      </c>
      <c r="C65" s="17">
        <v>3.3739999999999999E-2</v>
      </c>
      <c r="D65" s="14">
        <f>ROUND(B65*C65,0)</f>
        <v>201</v>
      </c>
      <c r="E65" s="3"/>
      <c r="F65" s="4"/>
      <c r="G65" s="4"/>
      <c r="H65" s="4"/>
      <c r="I65" s="4"/>
      <c r="J65" s="4"/>
    </row>
    <row r="66" spans="1:10" x14ac:dyDescent="0.2">
      <c r="A66" s="491" t="s">
        <v>1320</v>
      </c>
      <c r="B66" s="491"/>
      <c r="C66" s="491"/>
      <c r="D66" s="3">
        <f>SUM(D61:D65)+14</f>
        <v>8852</v>
      </c>
      <c r="E66" s="3"/>
      <c r="F66" s="4"/>
      <c r="G66" s="4"/>
      <c r="H66" s="4"/>
      <c r="I66" s="4"/>
      <c r="J66" s="4"/>
    </row>
    <row r="67" spans="1:10" x14ac:dyDescent="0.2">
      <c r="A67" s="491"/>
      <c r="B67" s="491"/>
      <c r="C67" s="491"/>
      <c r="D67" s="3"/>
      <c r="E67" s="3"/>
      <c r="F67" s="4"/>
      <c r="G67" s="4"/>
      <c r="H67" s="4"/>
      <c r="I67" s="4"/>
      <c r="J67" s="4"/>
    </row>
    <row r="68" spans="1:10" ht="13.5" x14ac:dyDescent="0.25">
      <c r="A68" s="494" t="s">
        <v>1235</v>
      </c>
      <c r="B68" s="491"/>
      <c r="C68" s="491"/>
      <c r="D68" s="3"/>
      <c r="E68" s="3">
        <v>65</v>
      </c>
      <c r="F68" s="4">
        <v>114</v>
      </c>
      <c r="G68" s="4">
        <v>114</v>
      </c>
      <c r="H68" s="4">
        <v>114</v>
      </c>
      <c r="I68" s="4">
        <v>114</v>
      </c>
      <c r="J68" s="4"/>
    </row>
    <row r="69" spans="1:10" x14ac:dyDescent="0.2">
      <c r="A69" s="16" t="s">
        <v>1321</v>
      </c>
      <c r="B69" s="3">
        <v>1</v>
      </c>
      <c r="C69" s="3">
        <v>20</v>
      </c>
      <c r="D69" s="3">
        <f>ROUND(B69*C69,0)</f>
        <v>20</v>
      </c>
      <c r="E69" s="3"/>
      <c r="F69" s="4"/>
      <c r="G69" s="4"/>
      <c r="H69" s="4"/>
      <c r="I69" s="4"/>
      <c r="J69" s="4"/>
    </row>
    <row r="70" spans="1:10" x14ac:dyDescent="0.2">
      <c r="A70" s="16" t="s">
        <v>1322</v>
      </c>
      <c r="B70" s="3">
        <v>1</v>
      </c>
      <c r="C70" s="3">
        <v>20</v>
      </c>
      <c r="D70" s="3">
        <f>ROUND(B70*C70,0)</f>
        <v>20</v>
      </c>
      <c r="E70" s="3"/>
      <c r="F70" s="4"/>
      <c r="G70" s="4"/>
      <c r="H70" s="4"/>
      <c r="I70" s="4"/>
      <c r="J70" s="4"/>
    </row>
    <row r="71" spans="1:10" x14ac:dyDescent="0.2">
      <c r="A71" s="16" t="s">
        <v>1323</v>
      </c>
      <c r="B71" s="3">
        <v>2</v>
      </c>
      <c r="C71" s="3">
        <v>20</v>
      </c>
      <c r="D71" s="3">
        <f>ROUND(B71*C71,0)</f>
        <v>40</v>
      </c>
      <c r="E71" s="3"/>
      <c r="F71" s="4"/>
      <c r="G71" s="4"/>
      <c r="H71" s="4"/>
      <c r="I71" s="4"/>
      <c r="J71" s="4"/>
    </row>
    <row r="72" spans="1:10" x14ac:dyDescent="0.2">
      <c r="A72" s="16" t="s">
        <v>1986</v>
      </c>
      <c r="B72" s="3">
        <v>1</v>
      </c>
      <c r="C72" s="3">
        <v>20</v>
      </c>
      <c r="D72" s="3">
        <f>ROUND(B72*C72,0)</f>
        <v>20</v>
      </c>
      <c r="E72" s="3"/>
      <c r="F72" s="4"/>
      <c r="G72" s="4"/>
      <c r="H72" s="4"/>
      <c r="I72" s="4"/>
      <c r="J72" s="4"/>
    </row>
    <row r="73" spans="1:10" x14ac:dyDescent="0.2">
      <c r="A73" s="16" t="s">
        <v>1987</v>
      </c>
      <c r="B73" s="3">
        <f>+D22</f>
        <v>10000</v>
      </c>
      <c r="C73" s="17">
        <v>1.4E-3</v>
      </c>
      <c r="D73" s="21">
        <f>ROUND(B73*C73,0)</f>
        <v>14</v>
      </c>
      <c r="E73" s="3"/>
      <c r="F73" s="4"/>
      <c r="G73" s="4"/>
      <c r="H73" s="4"/>
      <c r="I73" s="4"/>
      <c r="J73" s="4"/>
    </row>
    <row r="74" spans="1:10" x14ac:dyDescent="0.2">
      <c r="A74" s="491" t="s">
        <v>1320</v>
      </c>
      <c r="B74" s="3" t="s">
        <v>418</v>
      </c>
      <c r="C74" s="17" t="s">
        <v>418</v>
      </c>
      <c r="D74" s="3">
        <f>SUM(D69:D73)</f>
        <v>114</v>
      </c>
      <c r="E74" s="3"/>
      <c r="F74" s="75"/>
      <c r="G74" s="75"/>
      <c r="H74" s="75"/>
      <c r="I74" s="75"/>
      <c r="J74" s="75"/>
    </row>
    <row r="75" spans="1:10" x14ac:dyDescent="0.2">
      <c r="A75" s="491"/>
      <c r="B75" s="3"/>
      <c r="C75" s="17"/>
      <c r="D75" s="3"/>
      <c r="E75" s="3"/>
      <c r="F75" s="75"/>
      <c r="G75" s="75"/>
      <c r="H75" s="75"/>
      <c r="I75" s="75"/>
      <c r="J75" s="75"/>
    </row>
    <row r="76" spans="1:10" ht="13.5" x14ac:dyDescent="0.25">
      <c r="A76" s="494" t="s">
        <v>1236</v>
      </c>
      <c r="B76" s="491"/>
      <c r="C76" s="491"/>
      <c r="D76" s="3"/>
      <c r="E76" s="3">
        <v>1216</v>
      </c>
      <c r="F76" s="3">
        <v>4295</v>
      </c>
      <c r="G76" s="3">
        <v>4295</v>
      </c>
      <c r="H76" s="3">
        <v>4295</v>
      </c>
      <c r="I76" s="3">
        <v>4295</v>
      </c>
      <c r="J76" s="3"/>
    </row>
    <row r="77" spans="1:10" x14ac:dyDescent="0.2">
      <c r="A77" s="60" t="s">
        <v>1670</v>
      </c>
      <c r="B77" s="60"/>
      <c r="C77" s="60"/>
      <c r="D77" s="4">
        <v>2500</v>
      </c>
      <c r="E77" s="4"/>
      <c r="F77" s="3"/>
      <c r="I77" s="3"/>
      <c r="J77" s="3"/>
    </row>
    <row r="78" spans="1:10" x14ac:dyDescent="0.2">
      <c r="A78" s="60" t="s">
        <v>2198</v>
      </c>
      <c r="B78" s="60"/>
      <c r="C78" s="60">
        <v>1</v>
      </c>
      <c r="D78" s="4">
        <v>615</v>
      </c>
      <c r="E78" s="4"/>
      <c r="F78" s="3"/>
      <c r="I78" s="3"/>
      <c r="J78" s="3"/>
    </row>
    <row r="79" spans="1:10" ht="15" x14ac:dyDescent="0.35">
      <c r="A79" s="60" t="s">
        <v>2199</v>
      </c>
      <c r="B79" s="60"/>
      <c r="C79" s="60">
        <v>1</v>
      </c>
      <c r="D79" s="33">
        <v>1180</v>
      </c>
      <c r="E79" s="4"/>
      <c r="F79" s="3"/>
      <c r="I79" s="3"/>
      <c r="J79" s="3"/>
    </row>
    <row r="80" spans="1:10" x14ac:dyDescent="0.2">
      <c r="A80" s="60"/>
      <c r="B80" s="60"/>
      <c r="C80" s="60"/>
      <c r="D80" s="4">
        <f>SUM(D77:D79)</f>
        <v>4295</v>
      </c>
      <c r="E80" s="4"/>
      <c r="F80" s="3"/>
      <c r="I80" s="3"/>
      <c r="J80" s="3"/>
    </row>
    <row r="81" spans="1:10" x14ac:dyDescent="0.2">
      <c r="A81" s="60" t="s">
        <v>418</v>
      </c>
      <c r="B81" s="60"/>
      <c r="C81" s="60"/>
      <c r="D81" s="4" t="s">
        <v>418</v>
      </c>
      <c r="E81" s="4"/>
      <c r="F81" s="3"/>
      <c r="I81" s="3"/>
      <c r="J81" s="3"/>
    </row>
    <row r="82" spans="1:10" ht="13.5" x14ac:dyDescent="0.25">
      <c r="A82" s="332" t="s">
        <v>2067</v>
      </c>
      <c r="B82" s="309"/>
      <c r="C82" s="309"/>
      <c r="D82" s="309"/>
      <c r="E82" s="4">
        <v>835</v>
      </c>
      <c r="F82" s="3">
        <v>3000</v>
      </c>
      <c r="G82" s="3">
        <v>3000</v>
      </c>
      <c r="H82" s="3">
        <v>3000</v>
      </c>
      <c r="I82" s="3">
        <v>3000</v>
      </c>
      <c r="J82" s="3"/>
    </row>
    <row r="83" spans="1:10" x14ac:dyDescent="0.2">
      <c r="A83" s="311"/>
      <c r="B83" s="333" t="s">
        <v>261</v>
      </c>
      <c r="C83" s="333" t="s">
        <v>1678</v>
      </c>
      <c r="D83" s="333"/>
      <c r="E83" s="4"/>
      <c r="F83" s="3"/>
      <c r="I83" s="3"/>
      <c r="J83" s="3"/>
    </row>
    <row r="84" spans="1:10" x14ac:dyDescent="0.2">
      <c r="A84" s="309" t="s">
        <v>2200</v>
      </c>
      <c r="B84" s="309">
        <v>4</v>
      </c>
      <c r="C84" s="309">
        <v>450</v>
      </c>
      <c r="D84" s="309">
        <f>C84*B84</f>
        <v>1800</v>
      </c>
      <c r="E84" s="4"/>
      <c r="F84" s="3"/>
      <c r="I84" s="3"/>
      <c r="J84" s="3"/>
    </row>
    <row r="85" spans="1:10" ht="15" x14ac:dyDescent="0.35">
      <c r="A85" s="309" t="s">
        <v>2201</v>
      </c>
      <c r="B85" s="309">
        <v>4</v>
      </c>
      <c r="C85" s="309">
        <v>300</v>
      </c>
      <c r="D85" s="313">
        <f>C85*B85</f>
        <v>1200</v>
      </c>
      <c r="E85" s="4"/>
      <c r="F85" s="3"/>
      <c r="I85" s="3"/>
      <c r="J85" s="3"/>
    </row>
    <row r="86" spans="1:10" x14ac:dyDescent="0.2">
      <c r="A86" s="334" t="s">
        <v>1320</v>
      </c>
      <c r="B86" s="309"/>
      <c r="C86" s="309"/>
      <c r="D86" s="309">
        <f>SUM(D84:D85)</f>
        <v>3000</v>
      </c>
      <c r="E86" s="4"/>
      <c r="F86" s="3"/>
      <c r="I86" s="3"/>
      <c r="J86" s="3"/>
    </row>
    <row r="87" spans="1:10" ht="13.5" x14ac:dyDescent="0.25">
      <c r="A87" s="61"/>
      <c r="B87" s="60"/>
      <c r="C87" s="60"/>
      <c r="D87" s="60"/>
      <c r="E87" s="4"/>
      <c r="F87" s="3"/>
      <c r="I87" s="3"/>
      <c r="J87" s="3"/>
    </row>
    <row r="88" spans="1:10" ht="13.5" x14ac:dyDescent="0.25">
      <c r="A88" s="61" t="s">
        <v>1237</v>
      </c>
      <c r="B88" s="60"/>
      <c r="C88" s="60"/>
      <c r="D88" s="4"/>
      <c r="E88" s="4">
        <v>289</v>
      </c>
      <c r="F88" s="3">
        <v>770</v>
      </c>
      <c r="G88" s="3">
        <v>770</v>
      </c>
      <c r="H88" s="3">
        <v>770</v>
      </c>
      <c r="I88" s="3">
        <v>770</v>
      </c>
      <c r="J88" s="3"/>
    </row>
    <row r="89" spans="1:10" ht="15" x14ac:dyDescent="0.35">
      <c r="A89" s="60" t="s">
        <v>2202</v>
      </c>
      <c r="B89" s="60"/>
      <c r="C89" s="60"/>
      <c r="D89" s="33">
        <v>770</v>
      </c>
      <c r="E89" s="4"/>
      <c r="F89" s="3"/>
      <c r="I89" s="3"/>
      <c r="J89" s="3"/>
    </row>
    <row r="90" spans="1:10" x14ac:dyDescent="0.2">
      <c r="A90" s="60"/>
      <c r="B90" s="60"/>
      <c r="C90" s="60"/>
      <c r="D90" s="4">
        <f>SUM(D89:D89)</f>
        <v>770</v>
      </c>
      <c r="E90" s="4"/>
      <c r="F90" s="3"/>
      <c r="I90" s="3"/>
      <c r="J90" s="3"/>
    </row>
    <row r="91" spans="1:10" x14ac:dyDescent="0.2">
      <c r="A91" s="60"/>
      <c r="B91" s="60"/>
      <c r="C91" s="60"/>
      <c r="D91" s="4"/>
      <c r="E91" s="4"/>
      <c r="F91" s="3"/>
      <c r="I91" s="3"/>
      <c r="J91" s="3"/>
    </row>
    <row r="92" spans="1:10" x14ac:dyDescent="0.2">
      <c r="A92" s="335" t="s">
        <v>83</v>
      </c>
      <c r="B92" s="60"/>
      <c r="C92" s="60"/>
      <c r="D92" s="60"/>
      <c r="E92" s="4">
        <v>3</v>
      </c>
      <c r="F92" s="3">
        <v>50</v>
      </c>
      <c r="G92" s="3">
        <v>50</v>
      </c>
      <c r="H92" s="3">
        <v>50</v>
      </c>
      <c r="I92" s="3">
        <v>50</v>
      </c>
      <c r="J92" s="3"/>
    </row>
    <row r="93" spans="1:10" x14ac:dyDescent="0.2">
      <c r="A93" s="4" t="s">
        <v>345</v>
      </c>
      <c r="B93" s="60"/>
      <c r="C93" s="60"/>
      <c r="D93" s="60">
        <v>50</v>
      </c>
      <c r="E93" s="4"/>
      <c r="F93" s="3"/>
      <c r="I93" s="3"/>
      <c r="J93" s="3"/>
    </row>
    <row r="94" spans="1:10" x14ac:dyDescent="0.2">
      <c r="A94" s="491"/>
      <c r="B94" s="491"/>
      <c r="C94" s="491"/>
      <c r="D94" s="491"/>
      <c r="E94" s="3"/>
      <c r="F94" s="3"/>
      <c r="I94" s="3"/>
      <c r="J94" s="3"/>
    </row>
    <row r="95" spans="1:10" ht="13.5" x14ac:dyDescent="0.25">
      <c r="A95" s="61" t="s">
        <v>1238</v>
      </c>
      <c r="B95" s="60"/>
      <c r="C95" s="60"/>
      <c r="D95" s="60"/>
      <c r="E95" s="3">
        <v>3628</v>
      </c>
      <c r="F95" s="75">
        <v>3420</v>
      </c>
      <c r="G95" s="75">
        <v>4200</v>
      </c>
      <c r="H95" s="75">
        <v>4200</v>
      </c>
      <c r="I95" s="75">
        <v>4200</v>
      </c>
      <c r="J95" s="75"/>
    </row>
    <row r="96" spans="1:10" x14ac:dyDescent="0.2">
      <c r="A96" s="60" t="s">
        <v>2492</v>
      </c>
      <c r="B96" s="4">
        <v>1200</v>
      </c>
      <c r="C96" s="15">
        <v>3.5</v>
      </c>
      <c r="D96" s="4">
        <f>+C96*B96</f>
        <v>4200</v>
      </c>
      <c r="E96" s="3"/>
      <c r="F96" s="75"/>
      <c r="G96" s="75"/>
      <c r="H96" s="75"/>
      <c r="I96" s="75"/>
      <c r="J96" s="75"/>
    </row>
    <row r="97" spans="1:10" x14ac:dyDescent="0.2">
      <c r="A97" s="491"/>
      <c r="B97" s="3"/>
      <c r="C97" s="491"/>
      <c r="D97" s="17"/>
      <c r="E97" s="3"/>
      <c r="F97" s="4"/>
      <c r="G97" s="4"/>
      <c r="H97" s="4"/>
      <c r="I97" s="4"/>
      <c r="J97" s="4"/>
    </row>
    <row r="98" spans="1:10" ht="13.5" x14ac:dyDescent="0.25">
      <c r="A98" s="494" t="s">
        <v>1239</v>
      </c>
      <c r="B98" s="3"/>
      <c r="C98" s="491"/>
      <c r="D98" s="17"/>
      <c r="E98" s="3">
        <v>2703</v>
      </c>
      <c r="F98" s="4">
        <v>2830</v>
      </c>
      <c r="G98" s="4">
        <v>2830</v>
      </c>
      <c r="H98" s="4">
        <v>2830</v>
      </c>
      <c r="I98" s="4">
        <v>2830</v>
      </c>
      <c r="J98" s="4"/>
    </row>
    <row r="99" spans="1:10" x14ac:dyDescent="0.2">
      <c r="A99" s="491" t="s">
        <v>1026</v>
      </c>
      <c r="B99" s="3"/>
      <c r="C99" s="491"/>
      <c r="D99" s="3">
        <v>850</v>
      </c>
      <c r="E99" s="3"/>
      <c r="F99" s="4"/>
      <c r="G99" s="4"/>
      <c r="H99" s="4"/>
      <c r="I99" s="4"/>
      <c r="J99" s="4"/>
    </row>
    <row r="100" spans="1:10" x14ac:dyDescent="0.2">
      <c r="A100" s="3" t="s">
        <v>955</v>
      </c>
      <c r="B100" s="3">
        <v>1</v>
      </c>
      <c r="C100" s="3">
        <v>1020</v>
      </c>
      <c r="D100" s="3">
        <f>C100*B100</f>
        <v>1020</v>
      </c>
      <c r="E100" s="3"/>
      <c r="F100" s="4"/>
      <c r="G100" s="4"/>
      <c r="H100" s="4"/>
      <c r="I100" s="4"/>
      <c r="J100" s="4"/>
    </row>
    <row r="101" spans="1:10" x14ac:dyDescent="0.2">
      <c r="A101" s="3" t="s">
        <v>956</v>
      </c>
      <c r="B101" s="3">
        <v>1</v>
      </c>
      <c r="C101" s="3">
        <v>480</v>
      </c>
      <c r="D101" s="3">
        <f>C101*B101</f>
        <v>480</v>
      </c>
      <c r="E101" s="3"/>
      <c r="F101" s="75"/>
      <c r="G101" s="75"/>
      <c r="H101" s="75"/>
      <c r="I101" s="75"/>
      <c r="J101" s="75"/>
    </row>
    <row r="102" spans="1:10" ht="15" x14ac:dyDescent="0.35">
      <c r="A102" s="3" t="s">
        <v>957</v>
      </c>
      <c r="B102" s="3">
        <v>1</v>
      </c>
      <c r="C102" s="3">
        <v>480</v>
      </c>
      <c r="D102" s="14">
        <f>C102*B102</f>
        <v>480</v>
      </c>
      <c r="E102" s="3"/>
      <c r="F102" s="4"/>
      <c r="G102" s="4"/>
      <c r="H102" s="4"/>
      <c r="I102" s="4"/>
      <c r="J102" s="4"/>
    </row>
    <row r="103" spans="1:10" x14ac:dyDescent="0.2">
      <c r="A103" s="491" t="s">
        <v>1320</v>
      </c>
      <c r="B103" s="3"/>
      <c r="C103" s="491"/>
      <c r="D103" s="3">
        <f>SUM(D99:D102)</f>
        <v>2830</v>
      </c>
      <c r="E103" s="3"/>
      <c r="F103" s="4"/>
      <c r="G103" s="4"/>
      <c r="H103" s="4"/>
      <c r="I103" s="4"/>
      <c r="J103" s="4"/>
    </row>
    <row r="104" spans="1:10" x14ac:dyDescent="0.2">
      <c r="A104" s="491"/>
      <c r="B104" s="3"/>
      <c r="C104" s="491"/>
      <c r="D104" s="3"/>
      <c r="E104" s="3"/>
      <c r="F104" s="4"/>
      <c r="G104" s="4"/>
      <c r="H104" s="4"/>
      <c r="I104" s="4"/>
      <c r="J104" s="4"/>
    </row>
    <row r="105" spans="1:10" x14ac:dyDescent="0.2">
      <c r="A105" s="491"/>
      <c r="B105" s="491"/>
      <c r="C105" s="491"/>
      <c r="D105" s="3"/>
      <c r="E105" s="3"/>
      <c r="F105" s="4"/>
      <c r="G105" s="4"/>
      <c r="H105" s="4"/>
      <c r="I105" s="4"/>
      <c r="J105" s="4"/>
    </row>
    <row r="106" spans="1:10" ht="13.5" x14ac:dyDescent="0.25">
      <c r="A106" s="494" t="s">
        <v>1240</v>
      </c>
      <c r="B106" s="491"/>
      <c r="C106" s="491"/>
      <c r="D106" s="3"/>
      <c r="E106" s="3">
        <v>715</v>
      </c>
      <c r="F106" s="4">
        <v>890</v>
      </c>
      <c r="G106" s="4">
        <v>890</v>
      </c>
      <c r="H106" s="4">
        <v>890</v>
      </c>
      <c r="I106" s="4">
        <v>890</v>
      </c>
      <c r="J106" s="4"/>
    </row>
    <row r="107" spans="1:10" x14ac:dyDescent="0.2">
      <c r="A107" s="491" t="s">
        <v>2141</v>
      </c>
      <c r="B107" s="3">
        <v>1</v>
      </c>
      <c r="C107" s="491">
        <v>175</v>
      </c>
      <c r="D107" s="3">
        <f>C107*B107</f>
        <v>175</v>
      </c>
      <c r="E107" s="3"/>
      <c r="F107" s="4"/>
      <c r="G107" s="4"/>
      <c r="H107" s="4"/>
      <c r="I107" s="4"/>
      <c r="J107" s="4"/>
    </row>
    <row r="108" spans="1:10" x14ac:dyDescent="0.2">
      <c r="A108" s="491" t="s">
        <v>2142</v>
      </c>
      <c r="B108" s="3">
        <v>0</v>
      </c>
      <c r="C108" s="491">
        <v>125</v>
      </c>
      <c r="D108" s="3">
        <f t="shared" ref="D108:D114" si="1">C108*B108</f>
        <v>0</v>
      </c>
      <c r="E108" s="3"/>
      <c r="F108" s="4"/>
      <c r="G108" s="4"/>
      <c r="H108" s="4"/>
      <c r="I108" s="4"/>
      <c r="J108" s="4"/>
    </row>
    <row r="109" spans="1:10" x14ac:dyDescent="0.2">
      <c r="A109" s="491" t="s">
        <v>2143</v>
      </c>
      <c r="B109" s="3">
        <v>0</v>
      </c>
      <c r="C109" s="491">
        <v>125</v>
      </c>
      <c r="D109" s="3">
        <f t="shared" si="1"/>
        <v>0</v>
      </c>
      <c r="E109" s="3"/>
      <c r="F109" s="4"/>
      <c r="G109" s="4"/>
      <c r="H109" s="4"/>
      <c r="I109" s="4"/>
      <c r="J109" s="4"/>
    </row>
    <row r="110" spans="1:10" x14ac:dyDescent="0.2">
      <c r="A110" s="491" t="s">
        <v>1633</v>
      </c>
      <c r="B110" s="3">
        <v>2</v>
      </c>
      <c r="C110" s="491">
        <v>75</v>
      </c>
      <c r="D110" s="3">
        <f t="shared" si="1"/>
        <v>150</v>
      </c>
      <c r="E110" s="3"/>
      <c r="F110" s="4"/>
      <c r="G110" s="4"/>
      <c r="H110" s="4"/>
      <c r="I110" s="4"/>
      <c r="J110" s="4"/>
    </row>
    <row r="111" spans="1:10" x14ac:dyDescent="0.2">
      <c r="A111" s="491" t="s">
        <v>190</v>
      </c>
      <c r="B111" s="3">
        <v>3</v>
      </c>
      <c r="C111" s="491">
        <v>30</v>
      </c>
      <c r="D111" s="3">
        <f t="shared" si="1"/>
        <v>90</v>
      </c>
      <c r="E111" s="3"/>
      <c r="F111" s="4"/>
      <c r="G111" s="4"/>
      <c r="H111" s="4"/>
      <c r="I111" s="4"/>
      <c r="J111" s="4"/>
    </row>
    <row r="112" spans="1:10" x14ac:dyDescent="0.2">
      <c r="A112" s="491" t="s">
        <v>1634</v>
      </c>
      <c r="B112" s="3">
        <v>0</v>
      </c>
      <c r="C112" s="491">
        <v>85</v>
      </c>
      <c r="D112" s="3">
        <f t="shared" si="1"/>
        <v>0</v>
      </c>
      <c r="E112" s="3"/>
      <c r="F112" s="4"/>
      <c r="G112" s="4"/>
      <c r="H112" s="4"/>
      <c r="I112" s="4"/>
      <c r="J112" s="4"/>
    </row>
    <row r="113" spans="1:10" x14ac:dyDescent="0.2">
      <c r="A113" s="491" t="s">
        <v>1635</v>
      </c>
      <c r="B113" s="3">
        <v>3</v>
      </c>
      <c r="C113" s="491">
        <v>75</v>
      </c>
      <c r="D113" s="3">
        <f t="shared" si="1"/>
        <v>225</v>
      </c>
      <c r="E113" s="3"/>
      <c r="F113" s="4"/>
      <c r="G113" s="4"/>
      <c r="H113" s="4"/>
      <c r="I113" s="4"/>
      <c r="J113" s="4"/>
    </row>
    <row r="114" spans="1:10" ht="15" x14ac:dyDescent="0.35">
      <c r="A114" s="491" t="s">
        <v>2144</v>
      </c>
      <c r="B114" s="3">
        <v>1</v>
      </c>
      <c r="C114" s="491">
        <v>250</v>
      </c>
      <c r="D114" s="14">
        <f t="shared" si="1"/>
        <v>250</v>
      </c>
      <c r="E114" s="3"/>
      <c r="F114" s="4"/>
      <c r="G114" s="4"/>
      <c r="H114" s="4"/>
      <c r="I114" s="4"/>
      <c r="J114" s="4"/>
    </row>
    <row r="115" spans="1:10" x14ac:dyDescent="0.2">
      <c r="A115" s="491" t="s">
        <v>1320</v>
      </c>
      <c r="B115" s="491"/>
      <c r="C115" s="491"/>
      <c r="D115" s="3">
        <f>SUM(D107:D114)</f>
        <v>890</v>
      </c>
      <c r="E115" s="3"/>
      <c r="F115" s="4"/>
      <c r="G115" s="4"/>
      <c r="H115" s="4"/>
      <c r="I115" s="4"/>
      <c r="J115" s="4"/>
    </row>
    <row r="116" spans="1:10" x14ac:dyDescent="0.2">
      <c r="A116" s="491"/>
      <c r="B116" s="491"/>
      <c r="C116" s="491"/>
      <c r="D116" s="3"/>
      <c r="E116" s="3"/>
      <c r="F116" s="4"/>
      <c r="G116" s="4"/>
      <c r="H116" s="4"/>
      <c r="I116" s="4"/>
      <c r="J116" s="4"/>
    </row>
    <row r="117" spans="1:10" ht="13.5" x14ac:dyDescent="0.25">
      <c r="A117" s="20" t="s">
        <v>1241</v>
      </c>
      <c r="B117" s="491"/>
      <c r="C117" s="491"/>
      <c r="D117" s="3"/>
      <c r="E117" s="3">
        <v>2485</v>
      </c>
      <c r="F117" s="4">
        <v>2322</v>
      </c>
      <c r="G117" s="4">
        <v>3438</v>
      </c>
      <c r="H117" s="4">
        <v>3438</v>
      </c>
      <c r="I117" s="4">
        <v>3438</v>
      </c>
      <c r="J117" s="4"/>
    </row>
    <row r="118" spans="1:10" x14ac:dyDescent="0.2">
      <c r="A118" s="491" t="s">
        <v>943</v>
      </c>
      <c r="B118" s="491"/>
      <c r="C118" s="491"/>
      <c r="D118" s="3">
        <v>3438</v>
      </c>
      <c r="E118" s="3"/>
      <c r="F118" s="4"/>
      <c r="G118" s="4"/>
      <c r="H118" s="4"/>
      <c r="I118" s="4"/>
      <c r="J118" s="4"/>
    </row>
    <row r="119" spans="1:10" x14ac:dyDescent="0.2">
      <c r="A119" s="491"/>
      <c r="B119" s="491"/>
      <c r="C119" s="491"/>
      <c r="D119" s="3"/>
      <c r="E119" s="3"/>
      <c r="F119" s="4"/>
      <c r="G119" s="4"/>
      <c r="H119" s="4"/>
      <c r="I119" s="4"/>
      <c r="J119" s="4"/>
    </row>
    <row r="120" spans="1:10" ht="13.5" x14ac:dyDescent="0.25">
      <c r="A120" s="494" t="s">
        <v>1242</v>
      </c>
      <c r="B120" s="491"/>
      <c r="C120" s="491"/>
      <c r="D120" s="3"/>
      <c r="E120" s="3">
        <v>0</v>
      </c>
      <c r="F120" s="75">
        <v>1000</v>
      </c>
      <c r="G120" s="75">
        <v>1000</v>
      </c>
      <c r="H120" s="75">
        <v>1000</v>
      </c>
      <c r="I120" s="75">
        <v>1000</v>
      </c>
      <c r="J120" s="75"/>
    </row>
    <row r="121" spans="1:10" x14ac:dyDescent="0.2">
      <c r="A121" s="491" t="s">
        <v>1671</v>
      </c>
      <c r="B121" s="491">
        <v>2</v>
      </c>
      <c r="C121" s="491">
        <v>500</v>
      </c>
      <c r="D121" s="3">
        <f>C121*B121</f>
        <v>1000</v>
      </c>
      <c r="E121" s="3"/>
      <c r="F121" s="4"/>
      <c r="G121" s="4"/>
      <c r="H121" s="4"/>
      <c r="I121" s="4"/>
      <c r="J121" s="4"/>
    </row>
    <row r="122" spans="1:10" x14ac:dyDescent="0.2">
      <c r="A122" s="491"/>
      <c r="B122" s="491"/>
      <c r="C122" s="491"/>
      <c r="D122" s="3"/>
      <c r="E122" s="3"/>
      <c r="F122" s="4"/>
      <c r="G122" s="4"/>
      <c r="H122" s="4"/>
      <c r="I122" s="4"/>
      <c r="J122" s="4"/>
    </row>
    <row r="123" spans="1:10" ht="13.5" x14ac:dyDescent="0.25">
      <c r="A123" s="201" t="s">
        <v>1672</v>
      </c>
      <c r="B123" s="336"/>
      <c r="C123" s="74"/>
      <c r="D123" s="74"/>
      <c r="E123" s="74">
        <v>202</v>
      </c>
      <c r="F123" s="75">
        <v>2100</v>
      </c>
      <c r="G123" s="75">
        <v>2100</v>
      </c>
      <c r="H123" s="75">
        <v>2100</v>
      </c>
      <c r="I123" s="75">
        <v>2100</v>
      </c>
      <c r="J123" s="75"/>
    </row>
    <row r="124" spans="1:10" x14ac:dyDescent="0.2">
      <c r="A124" s="4" t="s">
        <v>2203</v>
      </c>
      <c r="B124" s="4">
        <v>1</v>
      </c>
      <c r="C124" s="4">
        <v>1200</v>
      </c>
      <c r="D124" s="74">
        <f>C124*B124</f>
        <v>1200</v>
      </c>
      <c r="E124" s="74"/>
      <c r="F124" s="75"/>
      <c r="G124" s="75"/>
      <c r="H124" s="75"/>
      <c r="I124" s="75"/>
      <c r="J124" s="75"/>
    </row>
    <row r="125" spans="1:10" ht="15" x14ac:dyDescent="0.35">
      <c r="A125" s="4" t="s">
        <v>2204</v>
      </c>
      <c r="B125" s="4">
        <v>1</v>
      </c>
      <c r="C125" s="4">
        <v>900</v>
      </c>
      <c r="D125" s="337">
        <v>900</v>
      </c>
      <c r="E125" s="74"/>
      <c r="F125" s="75"/>
      <c r="G125" s="75"/>
      <c r="H125" s="75"/>
      <c r="I125" s="75"/>
      <c r="J125" s="75"/>
    </row>
    <row r="126" spans="1:10" x14ac:dyDescent="0.2">
      <c r="A126" s="338" t="s">
        <v>1320</v>
      </c>
      <c r="B126" s="4"/>
      <c r="C126" s="4"/>
      <c r="D126" s="74">
        <f>SUM(D124:D125)</f>
        <v>2100</v>
      </c>
      <c r="E126" s="74"/>
      <c r="F126" s="75"/>
      <c r="G126" s="75"/>
      <c r="H126" s="75"/>
      <c r="I126" s="75"/>
      <c r="J126" s="75"/>
    </row>
    <row r="127" spans="1:10" x14ac:dyDescent="0.2">
      <c r="A127" s="338"/>
      <c r="B127" s="4"/>
      <c r="C127" s="4"/>
      <c r="D127" s="74"/>
      <c r="E127" s="74"/>
      <c r="F127" s="75"/>
      <c r="G127" s="75"/>
      <c r="H127" s="75"/>
      <c r="I127" s="75"/>
      <c r="J127" s="75"/>
    </row>
    <row r="128" spans="1:10" ht="13.5" x14ac:dyDescent="0.25">
      <c r="A128" s="61" t="s">
        <v>1243</v>
      </c>
      <c r="B128" s="60"/>
      <c r="C128" s="60"/>
      <c r="D128" s="4"/>
      <c r="E128" s="4">
        <v>2334</v>
      </c>
      <c r="F128" s="75">
        <v>4500</v>
      </c>
      <c r="G128" s="75">
        <v>3000</v>
      </c>
      <c r="H128" s="75">
        <v>3000</v>
      </c>
      <c r="I128" s="75">
        <v>3000</v>
      </c>
      <c r="J128" s="75"/>
    </row>
    <row r="129" spans="1:10" x14ac:dyDescent="0.2">
      <c r="A129" s="60" t="s">
        <v>2205</v>
      </c>
      <c r="B129" s="60"/>
      <c r="C129" s="60"/>
      <c r="D129" s="4">
        <v>3000</v>
      </c>
      <c r="E129" s="4"/>
      <c r="F129" s="75"/>
      <c r="G129" s="75"/>
      <c r="H129" s="75"/>
      <c r="I129" s="75"/>
      <c r="J129" s="75"/>
    </row>
    <row r="130" spans="1:10" x14ac:dyDescent="0.2">
      <c r="A130" s="491"/>
      <c r="B130" s="491"/>
      <c r="C130" s="491"/>
      <c r="D130" s="3"/>
      <c r="E130" s="3"/>
      <c r="F130" s="75"/>
      <c r="G130" s="75"/>
      <c r="H130" s="75"/>
      <c r="I130" s="75"/>
      <c r="J130" s="75"/>
    </row>
    <row r="131" spans="1:10" ht="13.5" x14ac:dyDescent="0.25">
      <c r="A131" s="201" t="s">
        <v>609</v>
      </c>
      <c r="B131" s="252"/>
      <c r="C131" s="252"/>
      <c r="D131" s="252"/>
      <c r="E131" s="4">
        <v>2443</v>
      </c>
      <c r="F131" s="75">
        <v>2500</v>
      </c>
      <c r="G131" s="75">
        <v>2500</v>
      </c>
      <c r="H131" s="75">
        <v>2500</v>
      </c>
      <c r="I131" s="75">
        <v>2500</v>
      </c>
      <c r="J131" s="75"/>
    </row>
    <row r="132" spans="1:10" x14ac:dyDescent="0.2">
      <c r="A132" s="4" t="s">
        <v>2206</v>
      </c>
      <c r="B132" s="4"/>
      <c r="C132" s="4"/>
      <c r="D132" s="4">
        <v>2500</v>
      </c>
      <c r="E132" s="4"/>
      <c r="F132" s="75"/>
      <c r="G132" s="75"/>
      <c r="H132" s="75"/>
      <c r="I132" s="75"/>
      <c r="J132" s="75"/>
    </row>
    <row r="133" spans="1:10" x14ac:dyDescent="0.2">
      <c r="A133" s="4" t="s">
        <v>2207</v>
      </c>
      <c r="B133" s="4"/>
      <c r="C133" s="4"/>
      <c r="D133" s="4"/>
      <c r="E133" s="4"/>
      <c r="F133" s="75"/>
      <c r="G133" s="75"/>
      <c r="H133" s="75"/>
      <c r="I133" s="75"/>
      <c r="J133" s="75"/>
    </row>
    <row r="134" spans="1:10" x14ac:dyDescent="0.2">
      <c r="A134" s="491"/>
      <c r="B134" s="491"/>
      <c r="C134" s="491"/>
      <c r="D134" s="3"/>
      <c r="E134" s="3"/>
      <c r="F134" s="75"/>
      <c r="G134" s="75"/>
      <c r="H134" s="75"/>
      <c r="I134" s="75"/>
      <c r="J134" s="75"/>
    </row>
    <row r="135" spans="1:10" ht="13.5" x14ac:dyDescent="0.25">
      <c r="A135" s="61" t="s">
        <v>1244</v>
      </c>
      <c r="B135" s="60"/>
      <c r="C135" s="60"/>
      <c r="D135" s="60"/>
      <c r="E135" s="4">
        <v>1415</v>
      </c>
      <c r="F135" s="75">
        <v>2380</v>
      </c>
      <c r="G135" s="75">
        <v>2380</v>
      </c>
      <c r="H135" s="75">
        <v>2380</v>
      </c>
      <c r="I135" s="75">
        <v>2380</v>
      </c>
      <c r="J135" s="75"/>
    </row>
    <row r="136" spans="1:10" x14ac:dyDescent="0.2">
      <c r="A136" s="60" t="s">
        <v>2208</v>
      </c>
      <c r="B136" s="60"/>
      <c r="C136" s="60"/>
      <c r="D136" s="4">
        <v>2380</v>
      </c>
      <c r="E136" s="4"/>
      <c r="F136" s="75"/>
      <c r="G136" s="75"/>
      <c r="H136" s="75"/>
      <c r="I136" s="75"/>
      <c r="J136" s="75"/>
    </row>
    <row r="137" spans="1:10" x14ac:dyDescent="0.2">
      <c r="A137" s="47" t="s">
        <v>2209</v>
      </c>
      <c r="B137" s="60"/>
      <c r="C137" s="60"/>
      <c r="D137" s="4"/>
      <c r="E137" s="4"/>
      <c r="F137" s="75"/>
      <c r="G137" s="75"/>
      <c r="H137" s="75"/>
      <c r="I137" s="75"/>
      <c r="J137" s="75"/>
    </row>
    <row r="138" spans="1:10" x14ac:dyDescent="0.2">
      <c r="A138" s="491"/>
      <c r="B138" s="491"/>
      <c r="C138" s="491"/>
      <c r="D138" s="3"/>
      <c r="E138" s="3"/>
      <c r="F138" s="75"/>
      <c r="G138" s="75"/>
      <c r="H138" s="75"/>
      <c r="I138" s="75"/>
      <c r="J138" s="75"/>
    </row>
    <row r="139" spans="1:10" ht="13.5" x14ac:dyDescent="0.25">
      <c r="A139" s="61" t="s">
        <v>1245</v>
      </c>
      <c r="B139" s="60"/>
      <c r="C139" s="60"/>
      <c r="D139" s="249"/>
      <c r="E139" s="4">
        <v>0</v>
      </c>
      <c r="F139" s="75">
        <v>900</v>
      </c>
      <c r="G139" s="75">
        <v>900</v>
      </c>
      <c r="H139" s="75">
        <v>900</v>
      </c>
      <c r="I139" s="75">
        <v>900</v>
      </c>
      <c r="J139" s="75"/>
    </row>
    <row r="140" spans="1:10" x14ac:dyDescent="0.2">
      <c r="A140" s="60" t="s">
        <v>1439</v>
      </c>
      <c r="B140" s="60"/>
      <c r="C140" s="60"/>
      <c r="D140" s="4">
        <v>500</v>
      </c>
      <c r="E140" s="4"/>
      <c r="F140" s="75"/>
      <c r="G140" s="75"/>
      <c r="H140" s="75"/>
      <c r="I140" s="75"/>
      <c r="J140" s="75"/>
    </row>
    <row r="141" spans="1:10" ht="15" x14ac:dyDescent="0.35">
      <c r="A141" s="60" t="s">
        <v>238</v>
      </c>
      <c r="B141" s="60"/>
      <c r="C141" s="60"/>
      <c r="D141" s="33">
        <v>400</v>
      </c>
      <c r="E141" s="4"/>
      <c r="F141" s="75"/>
      <c r="G141" s="75"/>
      <c r="H141" s="75"/>
      <c r="I141" s="75"/>
      <c r="J141" s="75"/>
    </row>
    <row r="142" spans="1:10" x14ac:dyDescent="0.2">
      <c r="A142" s="339" t="s">
        <v>1320</v>
      </c>
      <c r="B142" s="60"/>
      <c r="C142" s="60"/>
      <c r="D142" s="4">
        <f>SUM(D140:D141)</f>
        <v>900</v>
      </c>
      <c r="E142" s="4"/>
      <c r="F142" s="75"/>
      <c r="G142" s="75"/>
      <c r="H142" s="75"/>
      <c r="I142" s="75"/>
      <c r="J142" s="75"/>
    </row>
    <row r="143" spans="1:10" x14ac:dyDescent="0.2">
      <c r="A143" s="60"/>
      <c r="B143" s="60"/>
      <c r="C143" s="60"/>
      <c r="D143" s="4"/>
      <c r="E143" s="4"/>
      <c r="F143" s="75"/>
      <c r="G143" s="75"/>
      <c r="H143" s="75"/>
      <c r="I143" s="75"/>
      <c r="J143" s="75"/>
    </row>
    <row r="144" spans="1:10" ht="13.5" x14ac:dyDescent="0.25">
      <c r="A144" s="61" t="s">
        <v>1307</v>
      </c>
      <c r="B144" s="568"/>
      <c r="C144" s="568"/>
      <c r="D144" s="74" t="s">
        <v>418</v>
      </c>
      <c r="E144" s="74"/>
      <c r="F144" s="75"/>
      <c r="G144" s="75"/>
      <c r="H144" s="75"/>
      <c r="I144" s="75"/>
      <c r="J144" s="75"/>
    </row>
    <row r="145" spans="1:10" ht="15" x14ac:dyDescent="0.35">
      <c r="A145" s="47"/>
      <c r="B145" s="50"/>
      <c r="C145" s="4"/>
      <c r="D145" s="33"/>
      <c r="E145" s="73"/>
      <c r="F145" s="75"/>
      <c r="G145" s="75"/>
      <c r="H145" s="75"/>
      <c r="I145" s="75"/>
      <c r="J145" s="75"/>
    </row>
    <row r="146" spans="1:10" x14ac:dyDescent="0.2">
      <c r="A146" s="60"/>
      <c r="B146" s="60"/>
      <c r="C146" s="60"/>
      <c r="D146" s="4"/>
      <c r="E146" s="4"/>
      <c r="F146" s="75"/>
      <c r="G146" s="75"/>
      <c r="H146" s="75"/>
      <c r="I146" s="75"/>
      <c r="J146" s="75"/>
    </row>
    <row r="147" spans="1:10" ht="15" x14ac:dyDescent="0.35">
      <c r="A147" s="201" t="s">
        <v>610</v>
      </c>
      <c r="B147" s="74"/>
      <c r="C147" s="74"/>
      <c r="D147" s="74"/>
      <c r="E147" s="33">
        <v>0</v>
      </c>
      <c r="F147" s="33">
        <v>2500</v>
      </c>
      <c r="G147" s="33">
        <v>57500</v>
      </c>
      <c r="H147" s="33">
        <v>57500</v>
      </c>
      <c r="I147" s="33">
        <v>2500</v>
      </c>
      <c r="J147" s="33"/>
    </row>
    <row r="148" spans="1:10" ht="12.75" customHeight="1" x14ac:dyDescent="0.35">
      <c r="A148" s="4" t="s">
        <v>2210</v>
      </c>
      <c r="B148" s="437"/>
      <c r="C148" s="437"/>
      <c r="D148" s="4">
        <v>57500</v>
      </c>
      <c r="E148" s="4"/>
      <c r="F148" s="4"/>
      <c r="G148" s="4"/>
      <c r="H148" s="4"/>
      <c r="I148" s="4"/>
      <c r="J148" s="33"/>
    </row>
    <row r="149" spans="1:10" ht="12.75" customHeight="1" x14ac:dyDescent="0.25">
      <c r="A149" s="58" t="s">
        <v>418</v>
      </c>
      <c r="B149" s="416"/>
      <c r="C149" s="416"/>
      <c r="D149" s="3"/>
      <c r="E149" s="3"/>
      <c r="F149" s="3"/>
      <c r="I149" s="3"/>
      <c r="J149" s="3"/>
    </row>
    <row r="150" spans="1:10" ht="12.75" customHeight="1" x14ac:dyDescent="0.2">
      <c r="A150" s="23" t="s">
        <v>1405</v>
      </c>
      <c r="B150" s="416"/>
      <c r="C150" s="416"/>
      <c r="D150" s="3"/>
      <c r="E150" s="3">
        <f>SUM(E6:E148)</f>
        <v>492756</v>
      </c>
      <c r="F150" s="3">
        <f>SUM(F6:F148)</f>
        <v>494300</v>
      </c>
      <c r="G150" s="3">
        <f t="shared" ref="G150:J150" si="2">SUM(G6:G148)</f>
        <v>552342</v>
      </c>
      <c r="H150" s="3">
        <f>SUM(H6:H148)</f>
        <v>552342</v>
      </c>
      <c r="I150" s="3">
        <f t="shared" si="2"/>
        <v>509792</v>
      </c>
      <c r="J150" s="3">
        <f t="shared" si="2"/>
        <v>0</v>
      </c>
    </row>
    <row r="151" spans="1:10" ht="12.75" customHeight="1" x14ac:dyDescent="0.2">
      <c r="A151" s="23"/>
      <c r="B151" s="416"/>
      <c r="C151" s="416"/>
      <c r="D151" s="3"/>
      <c r="E151" s="3"/>
      <c r="F151" s="3"/>
      <c r="I151" s="3"/>
      <c r="J151" s="3"/>
    </row>
    <row r="152" spans="1:10" ht="12.75" customHeight="1" x14ac:dyDescent="0.2">
      <c r="A152" s="416" t="s">
        <v>628</v>
      </c>
      <c r="B152" s="416"/>
      <c r="C152" s="416"/>
      <c r="D152" s="416"/>
      <c r="E152" s="3">
        <f>SUM(E6:E74)</f>
        <v>474488</v>
      </c>
      <c r="F152" s="3">
        <f>SUM(F6:F74)</f>
        <v>460843</v>
      </c>
      <c r="G152" s="3">
        <f>SUM(G6:G74)</f>
        <v>463489</v>
      </c>
      <c r="H152" s="3">
        <f>SUM(H6:H74)</f>
        <v>463489</v>
      </c>
      <c r="I152" s="3">
        <f>SUM(I6:I74)</f>
        <v>475939</v>
      </c>
      <c r="J152" s="3">
        <f>SUM(J6:J75)</f>
        <v>0</v>
      </c>
    </row>
    <row r="153" spans="1:10" ht="12.75" customHeight="1" x14ac:dyDescent="0.2">
      <c r="A153" s="416" t="s">
        <v>1024</v>
      </c>
      <c r="B153" s="416"/>
      <c r="C153" s="416"/>
      <c r="D153" s="416"/>
      <c r="E153" s="3">
        <f t="shared" ref="E153:J153" si="3">SUM(E76:E142)</f>
        <v>18268</v>
      </c>
      <c r="F153" s="3">
        <f t="shared" si="3"/>
        <v>30957</v>
      </c>
      <c r="G153" s="3">
        <f t="shared" si="3"/>
        <v>31353</v>
      </c>
      <c r="H153" s="3">
        <f t="shared" ref="H153" si="4">SUM(H76:H142)</f>
        <v>31353</v>
      </c>
      <c r="I153" s="3">
        <f t="shared" si="3"/>
        <v>31353</v>
      </c>
      <c r="J153" s="3">
        <f t="shared" si="3"/>
        <v>0</v>
      </c>
    </row>
    <row r="154" spans="1:10" ht="12.75" customHeight="1" x14ac:dyDescent="0.35">
      <c r="A154" s="416" t="s">
        <v>1025</v>
      </c>
      <c r="B154" s="416"/>
      <c r="C154" s="416"/>
      <c r="D154" s="416"/>
      <c r="E154" s="14">
        <f t="shared" ref="E154:J154" si="5">+SUM(E145:E148)</f>
        <v>0</v>
      </c>
      <c r="F154" s="14">
        <f t="shared" si="5"/>
        <v>2500</v>
      </c>
      <c r="G154" s="14">
        <f t="shared" si="5"/>
        <v>57500</v>
      </c>
      <c r="H154" s="14">
        <f t="shared" ref="H154" si="6">+SUM(H145:H148)</f>
        <v>57500</v>
      </c>
      <c r="I154" s="14">
        <f t="shared" si="5"/>
        <v>2500</v>
      </c>
      <c r="J154" s="14">
        <f t="shared" si="5"/>
        <v>0</v>
      </c>
    </row>
    <row r="155" spans="1:10" ht="12.75" customHeight="1" x14ac:dyDescent="0.2">
      <c r="A155" s="416"/>
      <c r="B155" s="416"/>
      <c r="C155" s="416"/>
      <c r="D155" s="416"/>
      <c r="E155" s="3">
        <f t="shared" ref="E155:J155" si="7">SUM(E152:E154)</f>
        <v>492756</v>
      </c>
      <c r="F155" s="3">
        <f t="shared" si="7"/>
        <v>494300</v>
      </c>
      <c r="G155" s="3">
        <f t="shared" si="7"/>
        <v>552342</v>
      </c>
      <c r="H155" s="3">
        <f t="shared" ref="H155" si="8">SUM(H152:H154)</f>
        <v>552342</v>
      </c>
      <c r="I155" s="3">
        <f t="shared" si="7"/>
        <v>509792</v>
      </c>
      <c r="J155" s="3">
        <f t="shared" si="7"/>
        <v>0</v>
      </c>
    </row>
    <row r="156" spans="1:10" ht="12.75" customHeight="1" x14ac:dyDescent="0.2">
      <c r="A156" s="416"/>
      <c r="B156" s="416"/>
      <c r="C156" s="416"/>
      <c r="D156" s="416"/>
      <c r="E156" s="416"/>
      <c r="F156" s="416"/>
      <c r="I156" s="3"/>
      <c r="J156" s="3"/>
    </row>
    <row r="157" spans="1:10" ht="12.75" customHeight="1" x14ac:dyDescent="0.2">
      <c r="I157" s="3"/>
      <c r="J157" s="3">
        <f>12450-55000</f>
        <v>-42550</v>
      </c>
    </row>
    <row r="158" spans="1:10" ht="12.75" customHeight="1" x14ac:dyDescent="0.2">
      <c r="I158" s="3">
        <f>I155-H155</f>
        <v>-42550</v>
      </c>
      <c r="J158" s="3">
        <f>J155-H155</f>
        <v>-552342</v>
      </c>
    </row>
    <row r="159" spans="1:10" ht="12.75" customHeight="1" x14ac:dyDescent="0.2">
      <c r="I159" s="3"/>
      <c r="J159" s="3">
        <f>J157-J158</f>
        <v>509792</v>
      </c>
    </row>
    <row r="160" spans="1:10" ht="12.75" customHeight="1" x14ac:dyDescent="0.2">
      <c r="I160" s="3"/>
      <c r="J160" s="3"/>
    </row>
    <row r="161" spans="7:10" ht="12.75" customHeight="1" x14ac:dyDescent="0.2">
      <c r="G161" s="348"/>
      <c r="H161" s="475"/>
      <c r="I161" s="413"/>
      <c r="J161" s="3"/>
    </row>
    <row r="162" spans="7:10" ht="12.75" customHeight="1" x14ac:dyDescent="0.2">
      <c r="G162" s="348"/>
      <c r="H162" s="475"/>
      <c r="I162" s="413"/>
      <c r="J162" s="3"/>
    </row>
    <row r="163" spans="7:10" ht="12.75" customHeight="1" x14ac:dyDescent="0.2">
      <c r="G163" s="348"/>
      <c r="H163" s="475"/>
      <c r="I163" s="413"/>
      <c r="J163" s="3"/>
    </row>
    <row r="164" spans="7:10" ht="12.75" customHeight="1" x14ac:dyDescent="0.2">
      <c r="G164" s="348"/>
      <c r="H164" s="475"/>
      <c r="I164" s="413"/>
      <c r="J164" s="3"/>
    </row>
    <row r="165" spans="7:10" ht="12.75" customHeight="1" x14ac:dyDescent="0.2">
      <c r="G165" s="348"/>
      <c r="H165" s="475"/>
      <c r="I165" s="413"/>
      <c r="J165" s="3"/>
    </row>
    <row r="166" spans="7:10" ht="12.75" customHeight="1" x14ac:dyDescent="0.2">
      <c r="G166" s="348"/>
      <c r="H166" s="475"/>
      <c r="I166" s="413"/>
      <c r="J166" s="3"/>
    </row>
    <row r="167" spans="7:10" ht="12.75" customHeight="1" x14ac:dyDescent="0.2">
      <c r="G167" s="348"/>
      <c r="H167" s="475"/>
      <c r="I167" s="413"/>
      <c r="J167" s="3"/>
    </row>
    <row r="168" spans="7:10" ht="12.75" customHeight="1" x14ac:dyDescent="0.2">
      <c r="G168" s="348"/>
      <c r="H168" s="475"/>
      <c r="J168" s="3"/>
    </row>
    <row r="169" spans="7:10" ht="12.75" customHeight="1" x14ac:dyDescent="0.2">
      <c r="G169" s="348"/>
      <c r="H169" s="475"/>
      <c r="J169" s="3"/>
    </row>
    <row r="170" spans="7:10" ht="12.75" customHeight="1" x14ac:dyDescent="0.2">
      <c r="G170" s="348"/>
      <c r="H170" s="475"/>
      <c r="J170" s="3"/>
    </row>
    <row r="171" spans="7:10" ht="12.75" customHeight="1" x14ac:dyDescent="0.2">
      <c r="G171" s="348"/>
      <c r="H171" s="475"/>
      <c r="J171" s="3"/>
    </row>
    <row r="172" spans="7:10" ht="12.75" customHeight="1" x14ac:dyDescent="0.2">
      <c r="G172" s="348"/>
      <c r="H172" s="475"/>
      <c r="J172" s="3"/>
    </row>
    <row r="173" spans="7:10" ht="12.75" customHeight="1" x14ac:dyDescent="0.2">
      <c r="G173" s="348"/>
      <c r="H173" s="475"/>
      <c r="J173" s="3"/>
    </row>
    <row r="174" spans="7:10" ht="12.75" customHeight="1" x14ac:dyDescent="0.2">
      <c r="G174" s="348"/>
      <c r="H174" s="475"/>
      <c r="J174" s="3"/>
    </row>
    <row r="175" spans="7:10" ht="12.75" customHeight="1" x14ac:dyDescent="0.2">
      <c r="G175" s="348"/>
      <c r="H175" s="395"/>
      <c r="J175" s="3"/>
    </row>
    <row r="176" spans="7:10" ht="12.75" customHeight="1" x14ac:dyDescent="0.2">
      <c r="G176" s="348"/>
      <c r="H176" s="395"/>
      <c r="J176" s="3"/>
    </row>
    <row r="177" spans="7:10" ht="12.75" customHeight="1" x14ac:dyDescent="0.2">
      <c r="G177" s="348"/>
      <c r="H177" s="395"/>
      <c r="J177" s="3"/>
    </row>
    <row r="178" spans="7:10" ht="12.75" customHeight="1" x14ac:dyDescent="0.2">
      <c r="G178" s="348"/>
      <c r="H178" s="395"/>
      <c r="J178" s="3"/>
    </row>
    <row r="179" spans="7:10" ht="12.75" customHeight="1" x14ac:dyDescent="0.2">
      <c r="G179" s="348"/>
      <c r="H179" s="395"/>
    </row>
    <row r="180" spans="7:10" ht="12.75" customHeight="1" x14ac:dyDescent="0.2">
      <c r="G180" s="348"/>
      <c r="H180" s="395"/>
    </row>
    <row r="181" spans="7:10" ht="12.75" customHeight="1" x14ac:dyDescent="0.2">
      <c r="G181" s="348"/>
      <c r="H181" s="395"/>
    </row>
    <row r="182" spans="7:10" ht="12.75" customHeight="1" x14ac:dyDescent="0.2">
      <c r="G182" s="348"/>
      <c r="H182" s="395"/>
    </row>
    <row r="183" spans="7:10" ht="12.75" customHeight="1" x14ac:dyDescent="0.2">
      <c r="G183" s="348"/>
      <c r="H183" s="395"/>
    </row>
    <row r="184" spans="7:10" ht="12.75" customHeight="1" x14ac:dyDescent="0.2">
      <c r="G184" s="348"/>
      <c r="H184" s="395"/>
    </row>
    <row r="185" spans="7:10" ht="12.75" customHeight="1" x14ac:dyDescent="0.2">
      <c r="G185" s="348"/>
      <c r="H185" s="395"/>
    </row>
    <row r="186" spans="7:10" ht="12.75" customHeight="1" x14ac:dyDescent="0.2">
      <c r="G186" s="348"/>
      <c r="H186" s="395"/>
    </row>
    <row r="187" spans="7:10" ht="12.75" customHeight="1" x14ac:dyDescent="0.2">
      <c r="G187" s="348"/>
      <c r="H187" s="395"/>
    </row>
    <row r="188" spans="7:10" ht="12.75" customHeight="1" x14ac:dyDescent="0.2">
      <c r="G188" s="348"/>
      <c r="H188" s="395"/>
    </row>
    <row r="189" spans="7:10" ht="12.75" customHeight="1" x14ac:dyDescent="0.2">
      <c r="G189" s="348"/>
      <c r="H189" s="395"/>
    </row>
    <row r="190" spans="7:10" ht="12.75" customHeight="1" x14ac:dyDescent="0.2">
      <c r="G190" s="348"/>
      <c r="H190" s="395"/>
    </row>
    <row r="191" spans="7:10" ht="12.75" customHeight="1" x14ac:dyDescent="0.2">
      <c r="G191" s="348"/>
      <c r="H191" s="395"/>
    </row>
    <row r="192" spans="7:10" ht="12.75" customHeight="1" x14ac:dyDescent="0.2">
      <c r="G192" s="348"/>
      <c r="H192" s="395"/>
    </row>
    <row r="193" spans="7:8" ht="12.75" customHeight="1" x14ac:dyDescent="0.2">
      <c r="G193" s="348"/>
      <c r="H193" s="395"/>
    </row>
    <row r="194" spans="7:8" ht="12.75" customHeight="1" x14ac:dyDescent="0.2">
      <c r="G194" s="348"/>
      <c r="H194" s="395"/>
    </row>
    <row r="195" spans="7:8" ht="12.75" customHeight="1" x14ac:dyDescent="0.2">
      <c r="G195" s="348"/>
      <c r="H195" s="395"/>
    </row>
    <row r="196" spans="7:8" ht="12.75" customHeight="1" x14ac:dyDescent="0.2">
      <c r="G196" s="348"/>
      <c r="H196" s="395"/>
    </row>
    <row r="197" spans="7:8" ht="12.75" customHeight="1" x14ac:dyDescent="0.2">
      <c r="G197" s="348"/>
      <c r="H197" s="395"/>
    </row>
    <row r="198" spans="7:8" ht="12.75" customHeight="1" x14ac:dyDescent="0.2">
      <c r="G198" s="348"/>
      <c r="H198" s="395"/>
    </row>
    <row r="199" spans="7:8" ht="12.75" customHeight="1" x14ac:dyDescent="0.2">
      <c r="G199" s="348"/>
      <c r="H199" s="395"/>
    </row>
    <row r="200" spans="7:8" ht="12.75" customHeight="1" x14ac:dyDescent="0.2">
      <c r="G200" s="348"/>
      <c r="H200" s="395"/>
    </row>
    <row r="201" spans="7:8" ht="12.75" customHeight="1" x14ac:dyDescent="0.2">
      <c r="G201" s="348"/>
      <c r="H201" s="395"/>
    </row>
    <row r="202" spans="7:8" ht="12.75" customHeight="1" x14ac:dyDescent="0.2">
      <c r="G202" s="348"/>
      <c r="H202" s="395"/>
    </row>
    <row r="203" spans="7:8" ht="12.75" customHeight="1" x14ac:dyDescent="0.2">
      <c r="G203" s="348"/>
      <c r="H203" s="395"/>
    </row>
    <row r="204" spans="7:8" ht="12.75" customHeight="1" x14ac:dyDescent="0.2">
      <c r="G204" s="348"/>
      <c r="H204" s="395"/>
    </row>
    <row r="205" spans="7:8" ht="12.75" customHeight="1" x14ac:dyDescent="0.2">
      <c r="G205" s="348"/>
      <c r="H205" s="395"/>
    </row>
    <row r="206" spans="7:8" ht="12.75" customHeight="1" x14ac:dyDescent="0.2">
      <c r="G206" s="348"/>
      <c r="H206" s="395"/>
    </row>
    <row r="207" spans="7:8" ht="12.75" customHeight="1" x14ac:dyDescent="0.2">
      <c r="G207" s="348"/>
      <c r="H207" s="395"/>
    </row>
    <row r="208" spans="7:8" ht="12.75" customHeight="1" x14ac:dyDescent="0.2">
      <c r="G208" s="348"/>
      <c r="H208" s="395"/>
    </row>
    <row r="209" spans="7:8" ht="12.75" customHeight="1" x14ac:dyDescent="0.2">
      <c r="G209" s="348"/>
      <c r="H209" s="395"/>
    </row>
    <row r="210" spans="7:8" ht="12.75" customHeight="1" x14ac:dyDescent="0.2">
      <c r="G210" s="348"/>
      <c r="H210" s="348"/>
    </row>
    <row r="211" spans="7:8" ht="12.75" customHeight="1" x14ac:dyDescent="0.2">
      <c r="G211" s="348"/>
      <c r="H211" s="348"/>
    </row>
    <row r="212" spans="7:8" ht="12.75" customHeight="1" x14ac:dyDescent="0.2">
      <c r="G212" s="348"/>
      <c r="H212" s="348"/>
    </row>
    <row r="213" spans="7:8" ht="12.75" customHeight="1" x14ac:dyDescent="0.2">
      <c r="G213" s="348"/>
      <c r="H213" s="348"/>
    </row>
    <row r="214" spans="7:8" ht="12.75" customHeight="1" x14ac:dyDescent="0.2">
      <c r="G214" s="348"/>
      <c r="H214" s="348"/>
    </row>
    <row r="215" spans="7:8" ht="12.75" customHeight="1" x14ac:dyDescent="0.2">
      <c r="G215" s="348"/>
      <c r="H215" s="348"/>
    </row>
    <row r="216" spans="7:8" ht="12.75" customHeight="1" x14ac:dyDescent="0.2">
      <c r="G216" s="348"/>
      <c r="H216" s="348"/>
    </row>
    <row r="217" spans="7:8" ht="12.75" customHeight="1" x14ac:dyDescent="0.2">
      <c r="G217" s="348"/>
      <c r="H217" s="348"/>
    </row>
    <row r="218" spans="7:8" ht="12.75" customHeight="1" x14ac:dyDescent="0.2">
      <c r="G218" s="348"/>
      <c r="H218" s="348"/>
    </row>
    <row r="219" spans="7:8" ht="12.75" customHeight="1" x14ac:dyDescent="0.2">
      <c r="G219" s="348"/>
      <c r="H219" s="348"/>
    </row>
    <row r="220" spans="7:8" ht="12.75" customHeight="1" x14ac:dyDescent="0.2">
      <c r="G220" s="348"/>
      <c r="H220" s="348"/>
    </row>
    <row r="221" spans="7:8" ht="12.75" customHeight="1" x14ac:dyDescent="0.2">
      <c r="G221" s="348"/>
      <c r="H221" s="348"/>
    </row>
    <row r="222" spans="7:8" ht="12.75" customHeight="1" x14ac:dyDescent="0.2">
      <c r="G222" s="348"/>
      <c r="H222" s="348"/>
    </row>
    <row r="223" spans="7:8" ht="12.75" customHeight="1" x14ac:dyDescent="0.2">
      <c r="G223" s="348"/>
      <c r="H223" s="348"/>
    </row>
    <row r="224" spans="7:8" ht="12.75" customHeight="1" x14ac:dyDescent="0.2">
      <c r="G224" s="348"/>
      <c r="H224" s="348"/>
    </row>
    <row r="225" spans="7:8" ht="12.75" customHeight="1" x14ac:dyDescent="0.2">
      <c r="G225" s="348"/>
      <c r="H225" s="348"/>
    </row>
    <row r="226" spans="7:8" ht="12.75" customHeight="1" x14ac:dyDescent="0.2">
      <c r="G226" s="348"/>
      <c r="H226" s="348"/>
    </row>
    <row r="227" spans="7:8" ht="12.75" customHeight="1" x14ac:dyDescent="0.2">
      <c r="G227" s="348"/>
      <c r="H227" s="348"/>
    </row>
    <row r="228" spans="7:8" ht="12.75" customHeight="1" x14ac:dyDescent="0.2">
      <c r="G228" s="348"/>
      <c r="H228" s="348"/>
    </row>
    <row r="229" spans="7:8" ht="12.75" customHeight="1" x14ac:dyDescent="0.2">
      <c r="G229" s="348"/>
      <c r="H229" s="348"/>
    </row>
    <row r="230" spans="7:8" ht="12.75" customHeight="1" x14ac:dyDescent="0.2">
      <c r="G230" s="348"/>
      <c r="H230" s="348"/>
    </row>
    <row r="231" spans="7:8" ht="12.75" customHeight="1" x14ac:dyDescent="0.2">
      <c r="G231" s="348"/>
      <c r="H231" s="348"/>
    </row>
    <row r="232" spans="7:8" ht="12.75" customHeight="1" x14ac:dyDescent="0.2">
      <c r="G232" s="348"/>
      <c r="H232" s="348"/>
    </row>
    <row r="233" spans="7:8" ht="12.75" customHeight="1" x14ac:dyDescent="0.2">
      <c r="G233" s="348"/>
      <c r="H233" s="348"/>
    </row>
    <row r="234" spans="7:8" ht="12.75" customHeight="1" x14ac:dyDescent="0.2">
      <c r="G234" s="348"/>
      <c r="H234" s="348"/>
    </row>
  </sheetData>
  <mergeCells count="2">
    <mergeCell ref="A1:J1"/>
    <mergeCell ref="B144:C144"/>
  </mergeCells>
  <phoneticPr fontId="8" type="noConversion"/>
  <printOptions gridLines="1"/>
  <pageMargins left="0.75" right="0.16" top="0.51" bottom="0.22" header="0.5" footer="0.5"/>
  <pageSetup scale="86" fitToHeight="4" orientation="landscape" r:id="rId1"/>
  <headerFooter alignWithMargins="0"/>
  <rowBreaks count="1" manualBreakCount="1">
    <brk id="116"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71"/>
  <sheetViews>
    <sheetView view="pageBreakPreview" zoomScaleNormal="100" zoomScaleSheetLayoutView="100" workbookViewId="0">
      <pane ySplit="5" topLeftCell="A129" activePane="bottomLeft" state="frozen"/>
      <selection activeCell="D43" sqref="D43"/>
      <selection pane="bottomLeft" activeCell="J6" sqref="J6:J139"/>
    </sheetView>
  </sheetViews>
  <sheetFormatPr defaultColWidth="8.85546875" defaultRowHeight="12.75" x14ac:dyDescent="0.2"/>
  <cols>
    <col min="1" max="1" width="44.42578125" style="348" customWidth="1"/>
    <col min="2" max="2" width="8.7109375" style="348" bestFit="1" customWidth="1"/>
    <col min="3" max="3" width="9.7109375" style="348" bestFit="1" customWidth="1"/>
    <col min="4" max="4" width="11" style="348" bestFit="1" customWidth="1"/>
    <col min="5" max="5" width="13.7109375" style="348" customWidth="1"/>
    <col min="6" max="6" width="10.28515625" style="348" bestFit="1" customWidth="1"/>
    <col min="7" max="7" width="14.42578125" style="348" bestFit="1" customWidth="1"/>
    <col min="8" max="8" width="14" style="348" bestFit="1" customWidth="1"/>
    <col min="9" max="10" width="9.5703125" style="348" customWidth="1"/>
    <col min="11" max="11" width="0" style="348" hidden="1" customWidth="1"/>
    <col min="12" max="16384" width="8.85546875" style="348"/>
  </cols>
  <sheetData>
    <row r="1" spans="1:10" x14ac:dyDescent="0.2">
      <c r="A1" s="562" t="str">
        <f>'SUMMARY BY FUND'!A1:J1</f>
        <v>2023-24 BUDGET</v>
      </c>
      <c r="B1" s="563"/>
      <c r="C1" s="563"/>
      <c r="D1" s="563"/>
      <c r="E1" s="563"/>
      <c r="F1" s="563"/>
      <c r="G1" s="563"/>
      <c r="H1" s="563"/>
      <c r="I1" s="563"/>
      <c r="J1" s="563"/>
    </row>
    <row r="2" spans="1:10" ht="18.75" x14ac:dyDescent="0.3">
      <c r="A2" s="202" t="s">
        <v>1877</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19" t="s">
        <v>2163</v>
      </c>
      <c r="F5" s="419" t="s">
        <v>2290</v>
      </c>
      <c r="G5" s="419" t="s">
        <v>2507</v>
      </c>
      <c r="H5" s="419" t="s">
        <v>2507</v>
      </c>
      <c r="I5" s="419" t="s">
        <v>2507</v>
      </c>
      <c r="J5" s="419" t="s">
        <v>2507</v>
      </c>
    </row>
    <row r="6" spans="1:10" ht="13.5" x14ac:dyDescent="0.25">
      <c r="A6" s="383" t="s">
        <v>2</v>
      </c>
      <c r="B6" s="3"/>
      <c r="C6" s="3"/>
      <c r="D6" s="3"/>
      <c r="E6" s="3">
        <v>57194</v>
      </c>
      <c r="F6" s="3">
        <v>57252</v>
      </c>
      <c r="G6" s="3">
        <v>57262</v>
      </c>
      <c r="H6" s="3">
        <v>57262</v>
      </c>
      <c r="I6" s="3">
        <v>59280</v>
      </c>
      <c r="J6" s="3"/>
    </row>
    <row r="7" spans="1:10" ht="15" x14ac:dyDescent="0.35">
      <c r="A7" s="382" t="s">
        <v>467</v>
      </c>
      <c r="B7" s="3">
        <v>52</v>
      </c>
      <c r="C7" s="3">
        <v>1140</v>
      </c>
      <c r="D7" s="14">
        <f>ROUND(B7*C7,0)</f>
        <v>59280</v>
      </c>
      <c r="E7" s="3"/>
      <c r="F7" s="3"/>
      <c r="G7" s="3"/>
      <c r="H7" s="3"/>
      <c r="I7" s="3"/>
      <c r="J7" s="3"/>
    </row>
    <row r="8" spans="1:10" x14ac:dyDescent="0.2">
      <c r="A8" s="382" t="s">
        <v>1320</v>
      </c>
      <c r="B8" s="3"/>
      <c r="C8" s="3"/>
      <c r="D8" s="3">
        <f>SUM(D7:D7)</f>
        <v>59280</v>
      </c>
      <c r="E8" s="3"/>
      <c r="F8" s="3"/>
      <c r="G8" s="3"/>
      <c r="H8" s="3"/>
      <c r="I8" s="3"/>
      <c r="J8" s="3"/>
    </row>
    <row r="9" spans="1:10" x14ac:dyDescent="0.2">
      <c r="A9" s="382"/>
      <c r="B9" s="3"/>
      <c r="C9" s="3"/>
      <c r="D9" s="3"/>
      <c r="E9" s="3"/>
      <c r="F9" s="3"/>
      <c r="G9" s="3"/>
      <c r="H9" s="3"/>
      <c r="I9" s="3"/>
      <c r="J9" s="3"/>
    </row>
    <row r="10" spans="1:10" ht="13.5" x14ac:dyDescent="0.25">
      <c r="A10" s="383" t="s">
        <v>257</v>
      </c>
      <c r="B10" s="3"/>
      <c r="C10" s="3"/>
      <c r="D10" s="3"/>
      <c r="E10" s="3">
        <v>211684</v>
      </c>
      <c r="F10" s="3">
        <v>216916</v>
      </c>
      <c r="G10" s="3">
        <v>218694</v>
      </c>
      <c r="H10" s="3">
        <v>329756</v>
      </c>
      <c r="I10" s="3">
        <v>341208</v>
      </c>
      <c r="J10" s="3"/>
    </row>
    <row r="11" spans="1:10" x14ac:dyDescent="0.2">
      <c r="A11" s="382" t="s">
        <v>258</v>
      </c>
      <c r="B11" s="3">
        <v>52</v>
      </c>
      <c r="C11" s="3">
        <v>2400</v>
      </c>
      <c r="D11" s="3">
        <f>ROUND(B11*C11,0)</f>
        <v>124800</v>
      </c>
      <c r="E11" s="3"/>
      <c r="F11" s="3"/>
      <c r="G11" s="3"/>
      <c r="H11" s="3"/>
      <c r="I11" s="3"/>
      <c r="J11" s="3"/>
    </row>
    <row r="12" spans="1:10" x14ac:dyDescent="0.2">
      <c r="A12" s="382" t="s">
        <v>1613</v>
      </c>
      <c r="B12" s="3">
        <v>52</v>
      </c>
      <c r="C12" s="3">
        <v>2090</v>
      </c>
      <c r="D12" s="3">
        <f>ROUND(B12*C12,0)</f>
        <v>108680</v>
      </c>
      <c r="E12" s="3"/>
      <c r="F12" s="3"/>
      <c r="G12" s="3"/>
      <c r="H12" s="3"/>
      <c r="I12" s="3"/>
      <c r="J12" s="3"/>
    </row>
    <row r="13" spans="1:10" s="475" customFormat="1" x14ac:dyDescent="0.2">
      <c r="A13" s="475" t="s">
        <v>2643</v>
      </c>
      <c r="B13" s="3">
        <v>52</v>
      </c>
      <c r="C13" s="3">
        <v>2030</v>
      </c>
      <c r="D13" s="3">
        <f>ROUND(B13*C13,0)</f>
        <v>105560</v>
      </c>
      <c r="E13" s="3"/>
      <c r="F13" s="3"/>
      <c r="G13" s="3"/>
      <c r="H13" s="3"/>
      <c r="I13" s="3"/>
      <c r="J13" s="3"/>
    </row>
    <row r="14" spans="1:10" ht="15" x14ac:dyDescent="0.35">
      <c r="A14" s="382" t="s">
        <v>1039</v>
      </c>
      <c r="B14" s="3" t="s">
        <v>418</v>
      </c>
      <c r="C14" s="3" t="s">
        <v>418</v>
      </c>
      <c r="D14" s="14">
        <v>2168</v>
      </c>
      <c r="E14" s="3"/>
      <c r="F14" s="3"/>
      <c r="G14" s="3"/>
      <c r="H14" s="3"/>
      <c r="I14" s="3"/>
      <c r="J14" s="3"/>
    </row>
    <row r="15" spans="1:10" x14ac:dyDescent="0.2">
      <c r="A15" s="382" t="s">
        <v>1320</v>
      </c>
      <c r="B15" s="3"/>
      <c r="C15" s="3"/>
      <c r="D15" s="3">
        <f>SUM(D11:D14)</f>
        <v>341208</v>
      </c>
      <c r="E15" s="3"/>
      <c r="F15" s="3"/>
      <c r="G15" s="3"/>
      <c r="H15" s="3"/>
      <c r="I15" s="3"/>
      <c r="J15" s="3"/>
    </row>
    <row r="16" spans="1:10" x14ac:dyDescent="0.2">
      <c r="A16" s="382"/>
      <c r="B16" s="3"/>
      <c r="C16" s="3"/>
      <c r="D16" s="3"/>
      <c r="E16" s="3"/>
      <c r="F16" s="3"/>
      <c r="G16" s="3"/>
      <c r="H16" s="3"/>
      <c r="I16" s="3"/>
      <c r="J16" s="3"/>
    </row>
    <row r="17" spans="1:10" ht="13.5" x14ac:dyDescent="0.25">
      <c r="A17" s="383" t="s">
        <v>2133</v>
      </c>
      <c r="B17" s="3"/>
      <c r="C17" s="3"/>
      <c r="D17" s="3"/>
      <c r="E17" s="3">
        <v>61891</v>
      </c>
      <c r="F17" s="3">
        <v>71084</v>
      </c>
      <c r="G17" s="3">
        <v>71084</v>
      </c>
      <c r="H17" s="3">
        <v>0</v>
      </c>
      <c r="I17" s="3">
        <v>0</v>
      </c>
      <c r="J17" s="3"/>
    </row>
    <row r="18" spans="1:10" x14ac:dyDescent="0.2">
      <c r="A18" s="382" t="s">
        <v>2167</v>
      </c>
      <c r="B18" s="3">
        <v>52</v>
      </c>
      <c r="C18" s="3">
        <v>0</v>
      </c>
      <c r="D18" s="3">
        <f>ROUND(B18*C18,0)</f>
        <v>0</v>
      </c>
      <c r="E18" s="3"/>
      <c r="F18" s="3"/>
      <c r="G18" s="3"/>
      <c r="H18" s="3"/>
      <c r="I18" s="3"/>
      <c r="J18" s="3"/>
    </row>
    <row r="19" spans="1:10" ht="15" x14ac:dyDescent="0.35">
      <c r="A19" s="382" t="s">
        <v>1039</v>
      </c>
      <c r="B19" s="3" t="s">
        <v>418</v>
      </c>
      <c r="C19" s="3"/>
      <c r="D19" s="14">
        <v>0</v>
      </c>
      <c r="E19" s="3"/>
      <c r="F19" s="3"/>
      <c r="G19" s="3"/>
      <c r="H19" s="3"/>
      <c r="I19" s="3"/>
      <c r="J19" s="3"/>
    </row>
    <row r="20" spans="1:10" x14ac:dyDescent="0.2">
      <c r="A20" s="382" t="s">
        <v>1320</v>
      </c>
      <c r="B20" s="3"/>
      <c r="C20" s="3"/>
      <c r="D20" s="3">
        <f>SUM(D18:D19)</f>
        <v>0</v>
      </c>
      <c r="E20" s="3"/>
      <c r="F20" s="3"/>
      <c r="G20" s="3"/>
      <c r="H20" s="3"/>
      <c r="I20" s="3"/>
      <c r="J20" s="3"/>
    </row>
    <row r="21" spans="1:10" x14ac:dyDescent="0.2">
      <c r="A21" s="382"/>
      <c r="B21" s="3"/>
      <c r="C21" s="3"/>
      <c r="D21" s="3"/>
      <c r="E21" s="3"/>
      <c r="F21" s="3"/>
      <c r="G21" s="3"/>
      <c r="H21" s="3"/>
      <c r="I21" s="3"/>
      <c r="J21" s="3"/>
    </row>
    <row r="22" spans="1:10" ht="13.5" x14ac:dyDescent="0.25">
      <c r="A22" s="383" t="s">
        <v>876</v>
      </c>
      <c r="B22" s="382"/>
      <c r="C22" s="382"/>
      <c r="D22" s="3"/>
      <c r="E22" s="3">
        <v>33878</v>
      </c>
      <c r="F22" s="3">
        <v>18480</v>
      </c>
      <c r="G22" s="3">
        <v>27000</v>
      </c>
      <c r="H22" s="3">
        <v>27000</v>
      </c>
      <c r="I22" s="3">
        <v>27000</v>
      </c>
      <c r="J22" s="3"/>
    </row>
    <row r="23" spans="1:10" x14ac:dyDescent="0.2">
      <c r="A23" s="491" t="s">
        <v>1963</v>
      </c>
      <c r="B23" s="3">
        <v>1800</v>
      </c>
      <c r="C23" s="15">
        <v>15</v>
      </c>
      <c r="D23" s="3">
        <f>ROUND(B23*C23,0)</f>
        <v>27000</v>
      </c>
      <c r="E23" s="3"/>
      <c r="F23" s="3"/>
      <c r="G23" s="3"/>
      <c r="H23" s="3"/>
      <c r="I23" s="3"/>
      <c r="J23" s="3"/>
    </row>
    <row r="24" spans="1:10" ht="15" x14ac:dyDescent="0.35">
      <c r="A24" s="491" t="s">
        <v>1712</v>
      </c>
      <c r="B24" s="3">
        <v>0</v>
      </c>
      <c r="C24" s="15">
        <v>10</v>
      </c>
      <c r="D24" s="14">
        <f>+C24*B24</f>
        <v>0</v>
      </c>
      <c r="E24" s="3"/>
      <c r="F24" s="3"/>
      <c r="G24" s="3"/>
      <c r="H24" s="3"/>
      <c r="I24" s="3"/>
      <c r="J24" s="3"/>
    </row>
    <row r="25" spans="1:10" x14ac:dyDescent="0.2">
      <c r="A25" s="491"/>
      <c r="B25" s="3"/>
      <c r="C25" s="17"/>
      <c r="D25" s="3">
        <f>SUM(D23:D24)</f>
        <v>27000</v>
      </c>
      <c r="E25" s="3"/>
      <c r="F25" s="3"/>
      <c r="G25" s="3"/>
      <c r="H25" s="3"/>
      <c r="I25" s="3"/>
      <c r="J25" s="3"/>
    </row>
    <row r="26" spans="1:10" x14ac:dyDescent="0.2">
      <c r="A26" s="491"/>
      <c r="B26" s="3"/>
      <c r="C26" s="17"/>
      <c r="D26" s="3"/>
      <c r="E26" s="3"/>
      <c r="F26" s="3"/>
      <c r="G26" s="3"/>
      <c r="H26" s="3"/>
      <c r="I26" s="3"/>
      <c r="J26" s="3"/>
    </row>
    <row r="27" spans="1:10" x14ac:dyDescent="0.2">
      <c r="A27" s="491"/>
      <c r="B27" s="3"/>
      <c r="C27" s="17"/>
      <c r="D27" s="3"/>
      <c r="E27" s="3"/>
      <c r="F27" s="3"/>
      <c r="G27" s="3"/>
      <c r="H27" s="3"/>
      <c r="I27" s="3"/>
      <c r="J27" s="3"/>
    </row>
    <row r="28" spans="1:10" ht="13.5" x14ac:dyDescent="0.25">
      <c r="A28" s="55" t="s">
        <v>1920</v>
      </c>
      <c r="B28" s="3"/>
      <c r="C28" s="17"/>
      <c r="D28" s="3"/>
      <c r="E28" s="3">
        <v>371</v>
      </c>
      <c r="F28" s="3">
        <v>769</v>
      </c>
      <c r="G28" s="3">
        <v>769</v>
      </c>
      <c r="H28" s="3">
        <v>0</v>
      </c>
      <c r="I28" s="3">
        <v>0</v>
      </c>
      <c r="J28" s="3"/>
    </row>
    <row r="29" spans="1:10" x14ac:dyDescent="0.2">
      <c r="A29" s="54" t="s">
        <v>2266</v>
      </c>
      <c r="B29" s="3">
        <v>15</v>
      </c>
      <c r="C29" s="343">
        <f>+C18/40*1.5</f>
        <v>0</v>
      </c>
      <c r="D29" s="3">
        <f>C29*B29</f>
        <v>0</v>
      </c>
      <c r="E29" s="3"/>
      <c r="F29" s="3"/>
      <c r="G29" s="3"/>
      <c r="H29" s="3"/>
      <c r="I29" s="3"/>
      <c r="J29" s="3"/>
    </row>
    <row r="30" spans="1:10" x14ac:dyDescent="0.2">
      <c r="A30" s="491"/>
      <c r="B30" s="3"/>
      <c r="C30" s="17"/>
      <c r="D30" s="3"/>
      <c r="E30" s="3"/>
      <c r="F30" s="3"/>
      <c r="G30" s="3"/>
      <c r="H30" s="3"/>
      <c r="I30" s="3"/>
      <c r="J30" s="3"/>
    </row>
    <row r="31" spans="1:10" ht="13.5" x14ac:dyDescent="0.25">
      <c r="A31" s="494" t="s">
        <v>212</v>
      </c>
      <c r="B31" s="491"/>
      <c r="C31" s="491"/>
      <c r="D31" s="3"/>
      <c r="E31" s="3">
        <v>28053</v>
      </c>
      <c r="F31" s="3">
        <v>27885</v>
      </c>
      <c r="G31" s="3">
        <v>31673</v>
      </c>
      <c r="H31" s="3">
        <v>31673</v>
      </c>
      <c r="I31" s="3">
        <v>32703</v>
      </c>
      <c r="J31" s="3"/>
    </row>
    <row r="32" spans="1:10" x14ac:dyDescent="0.2">
      <c r="A32" s="16" t="s">
        <v>965</v>
      </c>
      <c r="B32" s="3">
        <f>+D7</f>
        <v>59280</v>
      </c>
      <c r="C32" s="17">
        <v>7.6499999999999999E-2</v>
      </c>
      <c r="D32" s="3">
        <f>ROUND(B32*C32,0)</f>
        <v>4535</v>
      </c>
      <c r="E32" s="3"/>
      <c r="F32" s="3"/>
      <c r="G32" s="3"/>
      <c r="H32" s="3"/>
      <c r="I32" s="3"/>
      <c r="J32" s="3"/>
    </row>
    <row r="33" spans="1:10" x14ac:dyDescent="0.2">
      <c r="A33" s="16" t="s">
        <v>1536</v>
      </c>
      <c r="B33" s="3">
        <f>+D15</f>
        <v>341208</v>
      </c>
      <c r="C33" s="17">
        <v>7.6499999999999999E-2</v>
      </c>
      <c r="D33" s="3">
        <f>ROUND(B33*C33,0)</f>
        <v>26102</v>
      </c>
      <c r="E33" s="3"/>
      <c r="F33" s="3"/>
      <c r="G33" s="3"/>
      <c r="H33" s="3"/>
      <c r="I33" s="3"/>
      <c r="J33" s="3"/>
    </row>
    <row r="34" spans="1:10" x14ac:dyDescent="0.2">
      <c r="A34" s="36">
        <v>8104</v>
      </c>
      <c r="B34" s="3">
        <f>+D20</f>
        <v>0</v>
      </c>
      <c r="C34" s="17">
        <v>7.6499999999999999E-2</v>
      </c>
      <c r="D34" s="3">
        <f>ROUND(B34*C34,0)</f>
        <v>0</v>
      </c>
      <c r="E34" s="3"/>
      <c r="F34" s="3"/>
      <c r="G34" s="3"/>
      <c r="H34" s="3"/>
      <c r="I34" s="3"/>
      <c r="J34" s="3"/>
    </row>
    <row r="35" spans="1:10" x14ac:dyDescent="0.2">
      <c r="A35" s="16" t="s">
        <v>196</v>
      </c>
      <c r="B35" s="3">
        <f>+D25</f>
        <v>27000</v>
      </c>
      <c r="C35" s="17">
        <v>7.6499999999999999E-2</v>
      </c>
      <c r="D35" s="3">
        <f>ROUND(B35*C35,0)</f>
        <v>2066</v>
      </c>
      <c r="E35" s="3"/>
      <c r="F35" s="3"/>
      <c r="G35" s="3"/>
      <c r="H35" s="3"/>
      <c r="I35" s="3"/>
      <c r="J35" s="3"/>
    </row>
    <row r="36" spans="1:10" ht="15" x14ac:dyDescent="0.35">
      <c r="A36" s="16" t="s">
        <v>197</v>
      </c>
      <c r="B36" s="3">
        <f>+D29</f>
        <v>0</v>
      </c>
      <c r="C36" s="17">
        <v>7.6499999999999999E-2</v>
      </c>
      <c r="D36" s="14">
        <f>ROUND(B36*C36,0)</f>
        <v>0</v>
      </c>
      <c r="E36" s="3"/>
      <c r="F36" s="3"/>
      <c r="G36" s="3"/>
      <c r="H36" s="3"/>
      <c r="I36" s="3"/>
      <c r="J36" s="3"/>
    </row>
    <row r="37" spans="1:10" x14ac:dyDescent="0.2">
      <c r="A37" s="491" t="s">
        <v>1320</v>
      </c>
      <c r="B37" s="491"/>
      <c r="C37" s="491"/>
      <c r="D37" s="3">
        <f>SUM(D32:D36)</f>
        <v>32703</v>
      </c>
      <c r="E37" s="3"/>
      <c r="F37" s="3"/>
      <c r="G37" s="3"/>
      <c r="H37" s="3"/>
      <c r="I37" s="3"/>
      <c r="J37" s="3"/>
    </row>
    <row r="38" spans="1:10" x14ac:dyDescent="0.2">
      <c r="A38" s="491"/>
      <c r="B38" s="491"/>
      <c r="C38" s="491"/>
      <c r="D38" s="3"/>
      <c r="E38" s="3"/>
      <c r="F38" s="3"/>
      <c r="G38" s="3"/>
      <c r="H38" s="3"/>
      <c r="I38" s="3"/>
      <c r="J38" s="3"/>
    </row>
    <row r="39" spans="1:10" ht="13.5" x14ac:dyDescent="0.25">
      <c r="A39" s="18" t="s">
        <v>213</v>
      </c>
      <c r="B39" s="491"/>
      <c r="C39" s="491"/>
      <c r="D39" s="3"/>
      <c r="E39" s="3">
        <v>46860</v>
      </c>
      <c r="F39" s="3">
        <v>48650</v>
      </c>
      <c r="G39" s="3">
        <v>47059</v>
      </c>
      <c r="H39" s="3">
        <v>52364</v>
      </c>
      <c r="I39" s="3">
        <v>54186</v>
      </c>
      <c r="J39" s="3"/>
    </row>
    <row r="40" spans="1:10" x14ac:dyDescent="0.2">
      <c r="A40" s="16" t="s">
        <v>965</v>
      </c>
      <c r="B40" s="3">
        <f>+B32</f>
        <v>59280</v>
      </c>
      <c r="C40" s="507">
        <v>0.1353</v>
      </c>
      <c r="D40" s="3">
        <f>ROUND(B40*C40,0)</f>
        <v>8021</v>
      </c>
      <c r="E40" s="3"/>
      <c r="F40" s="3"/>
      <c r="G40" s="3"/>
      <c r="H40" s="3"/>
      <c r="I40" s="3"/>
      <c r="J40" s="3"/>
    </row>
    <row r="41" spans="1:10" x14ac:dyDescent="0.2">
      <c r="A41" s="16" t="s">
        <v>1536</v>
      </c>
      <c r="B41" s="3">
        <f>+D15</f>
        <v>341208</v>
      </c>
      <c r="C41" s="507">
        <v>0.1353</v>
      </c>
      <c r="D41" s="3">
        <f>ROUND(B41*C41,0)</f>
        <v>46165</v>
      </c>
      <c r="E41" s="3"/>
      <c r="F41" s="3"/>
      <c r="G41" s="3"/>
      <c r="H41" s="3"/>
      <c r="I41" s="3"/>
      <c r="J41" s="3"/>
    </row>
    <row r="42" spans="1:10" x14ac:dyDescent="0.2">
      <c r="A42" s="36">
        <v>8104</v>
      </c>
      <c r="B42" s="3">
        <f>++B34</f>
        <v>0</v>
      </c>
      <c r="C42" s="507">
        <v>0.1353</v>
      </c>
      <c r="D42" s="3">
        <f>ROUND(B42*C42,0)</f>
        <v>0</v>
      </c>
      <c r="E42" s="3"/>
      <c r="F42" s="3"/>
      <c r="G42" s="3"/>
      <c r="H42" s="3"/>
      <c r="I42" s="3"/>
      <c r="J42" s="3"/>
    </row>
    <row r="43" spans="1:10" ht="15" x14ac:dyDescent="0.35">
      <c r="A43" s="36">
        <v>8111</v>
      </c>
      <c r="B43" s="3">
        <f>+B36</f>
        <v>0</v>
      </c>
      <c r="C43" s="507">
        <v>0.1353</v>
      </c>
      <c r="D43" s="14">
        <f>ROUND(B43*C43,0)</f>
        <v>0</v>
      </c>
      <c r="E43" s="3"/>
      <c r="F43" s="3"/>
      <c r="G43" s="3"/>
      <c r="H43" s="3"/>
      <c r="I43" s="3"/>
      <c r="J43" s="3"/>
    </row>
    <row r="44" spans="1:10" x14ac:dyDescent="0.2">
      <c r="A44" s="491" t="s">
        <v>1320</v>
      </c>
      <c r="B44" s="491" t="s">
        <v>418</v>
      </c>
      <c r="C44" s="3" t="s">
        <v>418</v>
      </c>
      <c r="D44" s="3">
        <f>SUM(D40:D43)</f>
        <v>54186</v>
      </c>
      <c r="E44" s="3"/>
      <c r="F44" s="3"/>
      <c r="G44" s="3"/>
      <c r="H44" s="3"/>
      <c r="I44" s="3"/>
      <c r="J44" s="3"/>
    </row>
    <row r="45" spans="1:10" x14ac:dyDescent="0.2">
      <c r="A45" s="491"/>
      <c r="B45" s="491"/>
      <c r="C45" s="491"/>
      <c r="D45" s="3"/>
      <c r="E45" s="3"/>
      <c r="F45" s="3"/>
      <c r="G45" s="3"/>
      <c r="H45" s="3"/>
      <c r="I45" s="3"/>
      <c r="J45" s="3"/>
    </row>
    <row r="46" spans="1:10" ht="13.5" x14ac:dyDescent="0.25">
      <c r="A46" s="494" t="s">
        <v>692</v>
      </c>
      <c r="B46" s="491"/>
      <c r="C46" s="491"/>
      <c r="D46" s="3"/>
      <c r="E46" s="3">
        <v>74064</v>
      </c>
      <c r="F46" s="3">
        <v>76000</v>
      </c>
      <c r="G46" s="3">
        <v>81000</v>
      </c>
      <c r="H46" s="3">
        <v>81000</v>
      </c>
      <c r="I46" s="3">
        <v>81000</v>
      </c>
      <c r="J46" s="3"/>
    </row>
    <row r="47" spans="1:10" x14ac:dyDescent="0.2">
      <c r="A47" s="491" t="s">
        <v>440</v>
      </c>
      <c r="B47" s="3">
        <v>4</v>
      </c>
      <c r="C47" s="3">
        <v>20250</v>
      </c>
      <c r="D47" s="3">
        <f>ROUND(B47*C47,0)</f>
        <v>81000</v>
      </c>
      <c r="E47" s="3"/>
      <c r="F47" s="3"/>
      <c r="G47" s="3"/>
      <c r="H47" s="3"/>
      <c r="I47" s="3"/>
      <c r="J47" s="3"/>
    </row>
    <row r="48" spans="1:10" x14ac:dyDescent="0.2">
      <c r="A48" s="491"/>
      <c r="B48" s="491"/>
      <c r="C48" s="491"/>
      <c r="D48" s="3"/>
      <c r="E48" s="3"/>
      <c r="F48" s="3"/>
      <c r="G48" s="3"/>
      <c r="H48" s="3"/>
      <c r="I48" s="3"/>
      <c r="J48" s="3"/>
    </row>
    <row r="49" spans="1:10" ht="13.5" x14ac:dyDescent="0.25">
      <c r="A49" s="494" t="s">
        <v>1074</v>
      </c>
      <c r="B49" s="491"/>
      <c r="C49" s="491"/>
      <c r="D49" s="3"/>
      <c r="E49" s="3">
        <v>4981</v>
      </c>
      <c r="F49" s="3">
        <v>4950</v>
      </c>
      <c r="G49" s="3">
        <v>4950</v>
      </c>
      <c r="H49" s="3">
        <v>4950</v>
      </c>
      <c r="I49" s="3">
        <v>4950</v>
      </c>
      <c r="J49" s="3"/>
    </row>
    <row r="50" spans="1:10" x14ac:dyDescent="0.2">
      <c r="A50" s="491" t="s">
        <v>440</v>
      </c>
      <c r="B50" s="3">
        <v>4</v>
      </c>
      <c r="C50" s="3">
        <v>1375</v>
      </c>
      <c r="D50" s="3">
        <f>ROUND(B50*C50,0)</f>
        <v>5500</v>
      </c>
      <c r="E50" s="3"/>
      <c r="F50" s="3"/>
      <c r="G50" s="3"/>
      <c r="H50" s="3"/>
      <c r="I50" s="3"/>
      <c r="J50" s="3"/>
    </row>
    <row r="51" spans="1:10" ht="15" x14ac:dyDescent="0.35">
      <c r="A51" s="491" t="s">
        <v>243</v>
      </c>
      <c r="B51" s="491"/>
      <c r="C51" s="491"/>
      <c r="D51" s="14">
        <f>+C50*-0.1*4</f>
        <v>-550</v>
      </c>
      <c r="E51" s="3"/>
      <c r="F51" s="3"/>
      <c r="G51" s="3"/>
      <c r="H51" s="3"/>
      <c r="I51" s="3"/>
      <c r="J51" s="3"/>
    </row>
    <row r="52" spans="1:10" x14ac:dyDescent="0.2">
      <c r="A52" s="491" t="s">
        <v>1320</v>
      </c>
      <c r="B52" s="491"/>
      <c r="C52" s="491"/>
      <c r="D52" s="3">
        <f>SUM(D50:D51)</f>
        <v>4950</v>
      </c>
      <c r="E52" s="3"/>
      <c r="F52" s="3"/>
      <c r="G52" s="3"/>
      <c r="H52" s="3"/>
      <c r="I52" s="3"/>
      <c r="J52" s="3"/>
    </row>
    <row r="53" spans="1:10" x14ac:dyDescent="0.2">
      <c r="A53" s="491"/>
      <c r="B53" s="491"/>
      <c r="C53" s="491"/>
      <c r="D53" s="3"/>
      <c r="E53" s="3"/>
      <c r="F53" s="3"/>
      <c r="G53" s="3"/>
      <c r="H53" s="3"/>
      <c r="I53" s="3"/>
      <c r="J53" s="3"/>
    </row>
    <row r="54" spans="1:10" ht="13.5" x14ac:dyDescent="0.25">
      <c r="A54" s="494" t="s">
        <v>867</v>
      </c>
      <c r="B54" s="491"/>
      <c r="C54" s="491"/>
      <c r="D54" s="3"/>
      <c r="E54" s="3">
        <v>726</v>
      </c>
      <c r="F54" s="3">
        <v>540</v>
      </c>
      <c r="G54" s="3">
        <v>580</v>
      </c>
      <c r="H54" s="3">
        <v>580</v>
      </c>
      <c r="I54" s="3">
        <v>580</v>
      </c>
      <c r="J54" s="3"/>
    </row>
    <row r="55" spans="1:10" x14ac:dyDescent="0.2">
      <c r="A55" s="491" t="s">
        <v>440</v>
      </c>
      <c r="B55" s="3">
        <v>4</v>
      </c>
      <c r="C55" s="3">
        <v>145</v>
      </c>
      <c r="D55" s="3">
        <f>ROUND(B55*C55,0)</f>
        <v>580</v>
      </c>
      <c r="E55" s="3"/>
      <c r="F55" s="3"/>
      <c r="G55" s="3"/>
      <c r="H55" s="3"/>
      <c r="I55" s="3"/>
      <c r="J55" s="3"/>
    </row>
    <row r="56" spans="1:10" x14ac:dyDescent="0.2">
      <c r="A56" s="491"/>
      <c r="B56" s="491"/>
      <c r="C56" s="491"/>
      <c r="D56" s="3"/>
      <c r="E56" s="3"/>
      <c r="F56" s="3"/>
      <c r="G56" s="3"/>
      <c r="H56" s="3"/>
      <c r="I56" s="3"/>
      <c r="J56" s="3"/>
    </row>
    <row r="57" spans="1:10" ht="13.5" x14ac:dyDescent="0.25">
      <c r="A57" s="494" t="s">
        <v>868</v>
      </c>
      <c r="B57" s="491"/>
      <c r="C57" s="491"/>
      <c r="D57" s="3"/>
      <c r="E57" s="3">
        <v>3346</v>
      </c>
      <c r="F57" s="3">
        <v>2100</v>
      </c>
      <c r="G57" s="3">
        <v>2260</v>
      </c>
      <c r="H57" s="3">
        <v>2260</v>
      </c>
      <c r="I57" s="3">
        <v>2260</v>
      </c>
      <c r="J57" s="3"/>
    </row>
    <row r="58" spans="1:10" x14ac:dyDescent="0.2">
      <c r="A58" s="491" t="s">
        <v>440</v>
      </c>
      <c r="B58" s="3">
        <v>4</v>
      </c>
      <c r="C58" s="3">
        <v>565</v>
      </c>
      <c r="D58" s="3">
        <f>ROUND(B58*C58,0)</f>
        <v>2260</v>
      </c>
      <c r="E58" s="3"/>
      <c r="F58" s="3"/>
      <c r="G58" s="3"/>
      <c r="H58" s="3"/>
      <c r="I58" s="3"/>
      <c r="J58" s="3"/>
    </row>
    <row r="59" spans="1:10" x14ac:dyDescent="0.2">
      <c r="A59" s="491"/>
      <c r="B59" s="491"/>
      <c r="C59" s="491"/>
      <c r="D59" s="3"/>
      <c r="E59" s="3"/>
      <c r="F59" s="3"/>
      <c r="G59" s="3"/>
      <c r="H59" s="3"/>
      <c r="I59" s="3"/>
      <c r="J59" s="3"/>
    </row>
    <row r="60" spans="1:10" ht="13.5" x14ac:dyDescent="0.25">
      <c r="A60" s="494" t="s">
        <v>869</v>
      </c>
      <c r="B60" s="491"/>
      <c r="C60" s="491"/>
      <c r="D60" s="3"/>
      <c r="E60" s="3">
        <v>4206</v>
      </c>
      <c r="F60" s="3">
        <v>4957</v>
      </c>
      <c r="G60" s="3">
        <v>4395</v>
      </c>
      <c r="H60" s="3">
        <v>4967</v>
      </c>
      <c r="I60" s="3">
        <v>5137</v>
      </c>
      <c r="J60" s="3"/>
    </row>
    <row r="61" spans="1:10" x14ac:dyDescent="0.2">
      <c r="A61" s="16" t="s">
        <v>965</v>
      </c>
      <c r="B61" s="3">
        <f>+B40</f>
        <v>59280</v>
      </c>
      <c r="C61" s="17">
        <v>1.89E-3</v>
      </c>
      <c r="D61" s="3">
        <f>ROUND(B61*C61,0)</f>
        <v>112</v>
      </c>
      <c r="E61" s="3"/>
      <c r="F61" s="3"/>
      <c r="G61" s="3"/>
      <c r="H61" s="3"/>
      <c r="I61" s="3"/>
      <c r="J61" s="3"/>
    </row>
    <row r="62" spans="1:10" x14ac:dyDescent="0.2">
      <c r="A62" s="16" t="s">
        <v>1536</v>
      </c>
      <c r="B62" s="3">
        <f>+D15</f>
        <v>341208</v>
      </c>
      <c r="C62" s="17">
        <v>1.457E-2</v>
      </c>
      <c r="D62" s="3">
        <f>ROUND(B62*C62,0)</f>
        <v>4971</v>
      </c>
      <c r="E62" s="3"/>
      <c r="F62" s="3"/>
      <c r="G62" s="3"/>
      <c r="H62" s="3"/>
      <c r="I62" s="3"/>
      <c r="J62" s="3"/>
    </row>
    <row r="63" spans="1:10" x14ac:dyDescent="0.2">
      <c r="A63" s="36">
        <v>8104</v>
      </c>
      <c r="B63" s="3">
        <f>+B42</f>
        <v>0</v>
      </c>
      <c r="C63" s="17">
        <v>1.457E-2</v>
      </c>
      <c r="D63" s="3">
        <f>ROUND(B63*C63,0)</f>
        <v>0</v>
      </c>
      <c r="E63" s="3"/>
      <c r="F63" s="3"/>
      <c r="G63" s="3"/>
      <c r="H63" s="3"/>
      <c r="I63" s="3"/>
      <c r="J63" s="3"/>
    </row>
    <row r="64" spans="1:10" x14ac:dyDescent="0.2">
      <c r="A64" s="16" t="s">
        <v>196</v>
      </c>
      <c r="B64" s="3">
        <f>+B35</f>
        <v>27000</v>
      </c>
      <c r="C64" s="17">
        <v>1.89E-3</v>
      </c>
      <c r="D64" s="3">
        <f>ROUND(B64*C64,0)</f>
        <v>51</v>
      </c>
      <c r="E64" s="3"/>
      <c r="F64" s="3"/>
      <c r="G64" s="3"/>
      <c r="H64" s="3"/>
      <c r="I64" s="3"/>
      <c r="J64" s="3"/>
    </row>
    <row r="65" spans="1:10" ht="15" x14ac:dyDescent="0.35">
      <c r="A65" s="16" t="s">
        <v>197</v>
      </c>
      <c r="B65" s="3">
        <f>+B43</f>
        <v>0</v>
      </c>
      <c r="C65" s="17">
        <v>1.457E-2</v>
      </c>
      <c r="D65" s="14">
        <f>ROUND(B65*C65,0)</f>
        <v>0</v>
      </c>
      <c r="E65" s="3"/>
      <c r="F65" s="3"/>
      <c r="G65" s="3"/>
      <c r="H65" s="3"/>
      <c r="I65" s="3"/>
      <c r="J65" s="3"/>
    </row>
    <row r="66" spans="1:10" x14ac:dyDescent="0.2">
      <c r="A66" s="491" t="s">
        <v>1320</v>
      </c>
      <c r="B66" s="491"/>
      <c r="C66" s="491"/>
      <c r="D66" s="3">
        <f>SUM(D61:D65)+3</f>
        <v>5137</v>
      </c>
      <c r="E66" s="3"/>
      <c r="F66" s="3"/>
      <c r="G66" s="3"/>
      <c r="H66" s="3"/>
      <c r="I66" s="3"/>
      <c r="J66" s="3"/>
    </row>
    <row r="67" spans="1:10" x14ac:dyDescent="0.2">
      <c r="A67" s="491"/>
      <c r="B67" s="491"/>
      <c r="C67" s="491"/>
      <c r="D67" s="3"/>
      <c r="E67" s="3"/>
      <c r="F67" s="3"/>
      <c r="G67" s="3"/>
      <c r="H67" s="3"/>
      <c r="I67" s="3"/>
      <c r="J67" s="3"/>
    </row>
    <row r="68" spans="1:10" ht="13.5" x14ac:dyDescent="0.25">
      <c r="A68" s="494" t="s">
        <v>375</v>
      </c>
      <c r="B68" s="491"/>
      <c r="C68" s="491"/>
      <c r="D68" s="3"/>
      <c r="E68" s="3">
        <v>80</v>
      </c>
      <c r="F68" s="3">
        <v>106</v>
      </c>
      <c r="G68" s="3">
        <v>118</v>
      </c>
      <c r="H68" s="3">
        <v>118</v>
      </c>
      <c r="I68" s="3">
        <v>118</v>
      </c>
      <c r="J68" s="3"/>
    </row>
    <row r="69" spans="1:10" x14ac:dyDescent="0.2">
      <c r="A69" s="16" t="s">
        <v>965</v>
      </c>
      <c r="B69" s="3">
        <v>1</v>
      </c>
      <c r="C69" s="3">
        <v>20</v>
      </c>
      <c r="D69" s="3">
        <f>ROUND(B69*C69,0)</f>
        <v>20</v>
      </c>
      <c r="E69" s="3"/>
      <c r="F69" s="3"/>
      <c r="G69" s="3"/>
      <c r="H69" s="3"/>
      <c r="I69" s="3"/>
      <c r="J69" s="3"/>
    </row>
    <row r="70" spans="1:10" x14ac:dyDescent="0.2">
      <c r="A70" s="16" t="s">
        <v>1536</v>
      </c>
      <c r="B70" s="3">
        <v>2</v>
      </c>
      <c r="C70" s="3">
        <v>20</v>
      </c>
      <c r="D70" s="3">
        <f>ROUND(B70*C70,0)</f>
        <v>40</v>
      </c>
      <c r="E70" s="3"/>
      <c r="F70" s="3"/>
      <c r="G70" s="3"/>
      <c r="H70" s="3"/>
      <c r="I70" s="3"/>
      <c r="J70" s="3"/>
    </row>
    <row r="71" spans="1:10" x14ac:dyDescent="0.2">
      <c r="A71" s="36">
        <v>8104</v>
      </c>
      <c r="B71" s="3">
        <v>1</v>
      </c>
      <c r="C71" s="3">
        <v>20</v>
      </c>
      <c r="D71" s="3">
        <f>ROUND(B71*C71,0)</f>
        <v>20</v>
      </c>
      <c r="E71" s="3"/>
      <c r="F71" s="3"/>
      <c r="G71" s="3"/>
      <c r="H71" s="3"/>
      <c r="I71" s="3"/>
      <c r="J71" s="3"/>
    </row>
    <row r="72" spans="1:10" ht="15" x14ac:dyDescent="0.35">
      <c r="A72" s="16" t="s">
        <v>196</v>
      </c>
      <c r="B72" s="3">
        <f>D25</f>
        <v>27000</v>
      </c>
      <c r="C72" s="17">
        <v>1.4E-3</v>
      </c>
      <c r="D72" s="14">
        <f>ROUND(B72*C72,0)</f>
        <v>38</v>
      </c>
      <c r="E72" s="3"/>
      <c r="F72" s="3"/>
      <c r="G72" s="3"/>
      <c r="H72" s="3"/>
      <c r="I72" s="3"/>
      <c r="J72" s="3"/>
    </row>
    <row r="73" spans="1:10" x14ac:dyDescent="0.2">
      <c r="A73" s="491" t="s">
        <v>1320</v>
      </c>
      <c r="B73" s="491"/>
      <c r="C73" s="491"/>
      <c r="D73" s="3">
        <f>SUM(D69:D72)</f>
        <v>118</v>
      </c>
      <c r="E73" s="3"/>
      <c r="F73" s="3"/>
      <c r="G73" s="3"/>
      <c r="H73" s="3"/>
      <c r="I73" s="3"/>
      <c r="J73" s="3"/>
    </row>
    <row r="74" spans="1:10" x14ac:dyDescent="0.2">
      <c r="A74" s="491"/>
      <c r="B74" s="491"/>
      <c r="C74" s="491"/>
      <c r="D74" s="3"/>
      <c r="E74" s="3"/>
      <c r="F74" s="3"/>
      <c r="G74" s="3"/>
      <c r="H74" s="3"/>
      <c r="I74" s="3"/>
      <c r="J74" s="3"/>
    </row>
    <row r="75" spans="1:10" ht="13.5" x14ac:dyDescent="0.25">
      <c r="A75" s="494" t="s">
        <v>376</v>
      </c>
      <c r="B75" s="491"/>
      <c r="C75" s="491"/>
      <c r="D75" s="3"/>
      <c r="E75" s="3">
        <v>1602</v>
      </c>
      <c r="F75" s="3">
        <v>2000</v>
      </c>
      <c r="G75" s="3">
        <v>2000</v>
      </c>
      <c r="H75" s="3">
        <v>2000</v>
      </c>
      <c r="I75" s="3">
        <v>2000</v>
      </c>
      <c r="J75" s="3"/>
    </row>
    <row r="76" spans="1:10" x14ac:dyDescent="0.2">
      <c r="A76" s="491" t="s">
        <v>377</v>
      </c>
      <c r="B76" s="491"/>
      <c r="C76" s="3"/>
      <c r="D76" s="3">
        <v>2000</v>
      </c>
      <c r="E76" s="453"/>
      <c r="F76" s="3"/>
      <c r="G76" s="3"/>
      <c r="H76" s="3"/>
      <c r="I76" s="3"/>
      <c r="J76" s="3"/>
    </row>
    <row r="77" spans="1:10" x14ac:dyDescent="0.2">
      <c r="A77" s="491"/>
      <c r="B77" s="491"/>
      <c r="C77" s="3"/>
      <c r="D77" s="3"/>
      <c r="E77" s="3"/>
      <c r="F77" s="3"/>
      <c r="G77" s="3"/>
      <c r="H77" s="3"/>
      <c r="I77" s="3"/>
      <c r="J77" s="3"/>
    </row>
    <row r="78" spans="1:10" ht="13.5" x14ac:dyDescent="0.25">
      <c r="A78" s="494" t="s">
        <v>1614</v>
      </c>
      <c r="B78" s="491"/>
      <c r="C78" s="3"/>
      <c r="D78" s="3"/>
      <c r="E78" s="3">
        <v>0</v>
      </c>
      <c r="F78" s="3">
        <v>1250</v>
      </c>
      <c r="G78" s="3">
        <v>1250</v>
      </c>
      <c r="H78" s="3">
        <v>1250</v>
      </c>
      <c r="I78" s="3">
        <v>1250</v>
      </c>
      <c r="J78" s="3"/>
    </row>
    <row r="79" spans="1:10" x14ac:dyDescent="0.2">
      <c r="A79" s="27" t="s">
        <v>1642</v>
      </c>
      <c r="B79" s="491"/>
      <c r="C79" s="3"/>
      <c r="D79" s="3"/>
      <c r="E79" s="3"/>
      <c r="F79" s="3"/>
      <c r="G79" s="3"/>
      <c r="H79" s="3"/>
      <c r="I79" s="3"/>
      <c r="J79" s="3"/>
    </row>
    <row r="80" spans="1:10" x14ac:dyDescent="0.2">
      <c r="A80" s="27" t="s">
        <v>2042</v>
      </c>
      <c r="B80" s="491"/>
      <c r="C80" s="3"/>
      <c r="D80" s="491">
        <v>500</v>
      </c>
      <c r="E80" s="453"/>
      <c r="F80" s="453"/>
      <c r="G80" s="453"/>
      <c r="H80" s="475"/>
      <c r="I80" s="557"/>
      <c r="J80" s="557"/>
    </row>
    <row r="81" spans="1:10" ht="15" x14ac:dyDescent="0.35">
      <c r="A81" s="27" t="s">
        <v>2134</v>
      </c>
      <c r="B81" s="491"/>
      <c r="C81" s="3"/>
      <c r="D81" s="14">
        <v>750</v>
      </c>
      <c r="E81" s="453"/>
      <c r="F81" s="453"/>
      <c r="G81" s="453"/>
      <c r="H81" s="475"/>
      <c r="I81" s="557"/>
      <c r="J81" s="557"/>
    </row>
    <row r="82" spans="1:10" x14ac:dyDescent="0.2">
      <c r="A82" s="27"/>
      <c r="B82" s="491"/>
      <c r="C82" s="3"/>
      <c r="D82" s="491">
        <f>SUM(D80:D81)</f>
        <v>1250</v>
      </c>
      <c r="E82" s="453"/>
      <c r="F82" s="453"/>
      <c r="G82" s="453"/>
      <c r="H82" s="475"/>
      <c r="I82" s="557"/>
      <c r="J82" s="557"/>
    </row>
    <row r="83" spans="1:10" x14ac:dyDescent="0.2">
      <c r="A83" s="491"/>
      <c r="B83" s="491"/>
      <c r="C83" s="21"/>
      <c r="D83" s="3"/>
      <c r="E83" s="3"/>
      <c r="F83" s="3"/>
      <c r="G83" s="3"/>
      <c r="H83" s="3"/>
      <c r="I83" s="3"/>
      <c r="J83" s="3"/>
    </row>
    <row r="84" spans="1:10" ht="13.5" x14ac:dyDescent="0.25">
      <c r="A84" s="494" t="s">
        <v>2087</v>
      </c>
      <c r="B84" s="491"/>
      <c r="C84" s="21"/>
      <c r="D84" s="3"/>
      <c r="E84" s="3">
        <v>654</v>
      </c>
      <c r="F84" s="3">
        <v>450</v>
      </c>
      <c r="G84" s="3">
        <v>450</v>
      </c>
      <c r="H84" s="3">
        <v>450</v>
      </c>
      <c r="I84" s="3">
        <v>450</v>
      </c>
      <c r="J84" s="3"/>
    </row>
    <row r="85" spans="1:10" x14ac:dyDescent="0.2">
      <c r="A85" s="491" t="s">
        <v>2267</v>
      </c>
      <c r="B85" s="491"/>
      <c r="C85" s="21"/>
      <c r="D85" s="3">
        <v>450</v>
      </c>
      <c r="E85" s="3"/>
      <c r="F85" s="3"/>
      <c r="G85" s="3"/>
      <c r="H85" s="3"/>
      <c r="I85" s="3"/>
      <c r="J85" s="3"/>
    </row>
    <row r="86" spans="1:10" x14ac:dyDescent="0.2">
      <c r="A86" s="491"/>
      <c r="B86" s="491"/>
      <c r="C86" s="21"/>
      <c r="D86" s="3"/>
      <c r="E86" s="3"/>
      <c r="F86" s="3"/>
      <c r="G86" s="3"/>
      <c r="H86" s="3"/>
      <c r="I86" s="3"/>
      <c r="J86" s="3"/>
    </row>
    <row r="87" spans="1:10" ht="13.5" x14ac:dyDescent="0.25">
      <c r="A87" s="494" t="s">
        <v>384</v>
      </c>
      <c r="B87" s="491"/>
      <c r="C87" s="3"/>
      <c r="D87" s="3"/>
      <c r="E87" s="3">
        <v>0</v>
      </c>
      <c r="F87" s="3">
        <v>100</v>
      </c>
      <c r="G87" s="3">
        <v>100</v>
      </c>
      <c r="H87" s="3">
        <v>100</v>
      </c>
      <c r="I87" s="3">
        <v>100</v>
      </c>
      <c r="J87" s="3"/>
    </row>
    <row r="88" spans="1:10" x14ac:dyDescent="0.2">
      <c r="A88" s="491" t="s">
        <v>1207</v>
      </c>
      <c r="B88" s="491"/>
      <c r="C88" s="3"/>
      <c r="D88" s="3">
        <v>100</v>
      </c>
      <c r="E88" s="3"/>
      <c r="F88" s="3"/>
      <c r="G88" s="3"/>
      <c r="H88" s="3"/>
      <c r="I88" s="3"/>
      <c r="J88" s="3"/>
    </row>
    <row r="89" spans="1:10" x14ac:dyDescent="0.2">
      <c r="A89" s="491"/>
      <c r="B89" s="491"/>
      <c r="C89" s="3"/>
      <c r="D89" s="3"/>
      <c r="E89" s="3"/>
      <c r="F89" s="3"/>
      <c r="G89" s="3"/>
      <c r="H89" s="3"/>
      <c r="I89" s="3"/>
      <c r="J89" s="3"/>
    </row>
    <row r="90" spans="1:10" ht="13.5" x14ac:dyDescent="0.25">
      <c r="A90" s="494" t="s">
        <v>953</v>
      </c>
      <c r="B90" s="491"/>
      <c r="C90" s="3"/>
      <c r="D90" s="3"/>
      <c r="E90" s="3">
        <v>96</v>
      </c>
      <c r="F90" s="3">
        <v>230</v>
      </c>
      <c r="G90" s="3">
        <v>230</v>
      </c>
      <c r="H90" s="3">
        <v>230</v>
      </c>
      <c r="I90" s="3">
        <v>230</v>
      </c>
      <c r="J90" s="3"/>
    </row>
    <row r="91" spans="1:10" x14ac:dyDescent="0.2">
      <c r="A91" s="491" t="s">
        <v>412</v>
      </c>
      <c r="B91" s="3" t="s">
        <v>418</v>
      </c>
      <c r="C91" s="3"/>
      <c r="D91" s="3">
        <v>230</v>
      </c>
      <c r="E91" s="3"/>
      <c r="F91" s="3"/>
      <c r="G91" s="3"/>
      <c r="H91" s="3"/>
      <c r="I91" s="3"/>
      <c r="J91" s="3"/>
    </row>
    <row r="92" spans="1:10" x14ac:dyDescent="0.2">
      <c r="A92" s="491"/>
      <c r="B92" s="491"/>
      <c r="C92" s="3"/>
      <c r="D92" s="3"/>
      <c r="E92" s="3"/>
      <c r="F92" s="3"/>
      <c r="G92" s="3"/>
      <c r="H92" s="3"/>
      <c r="I92" s="3"/>
      <c r="J92" s="3"/>
    </row>
    <row r="93" spans="1:10" ht="13.5" x14ac:dyDescent="0.25">
      <c r="A93" s="494" t="s">
        <v>1592</v>
      </c>
      <c r="B93" s="491"/>
      <c r="C93" s="3"/>
      <c r="D93" s="3"/>
      <c r="E93" s="3">
        <v>3155</v>
      </c>
      <c r="F93" s="3">
        <v>3040</v>
      </c>
      <c r="G93" s="3">
        <v>3190</v>
      </c>
      <c r="H93" s="3">
        <v>4210</v>
      </c>
      <c r="I93" s="3">
        <v>4210</v>
      </c>
      <c r="J93" s="3"/>
    </row>
    <row r="94" spans="1:10" x14ac:dyDescent="0.2">
      <c r="A94" s="491" t="s">
        <v>1026</v>
      </c>
      <c r="B94" s="491"/>
      <c r="C94" s="3"/>
      <c r="D94" s="3">
        <v>1000</v>
      </c>
      <c r="E94" s="3"/>
      <c r="F94" s="3"/>
      <c r="G94" s="3"/>
      <c r="H94" s="3"/>
      <c r="I94" s="3"/>
      <c r="J94" s="3"/>
    </row>
    <row r="95" spans="1:10" x14ac:dyDescent="0.2">
      <c r="A95" s="491" t="s">
        <v>2091</v>
      </c>
      <c r="B95" s="491"/>
      <c r="C95" s="3"/>
      <c r="D95" s="3">
        <v>150</v>
      </c>
      <c r="E95" s="3"/>
      <c r="F95" s="3"/>
      <c r="G95" s="3"/>
      <c r="H95" s="3"/>
      <c r="I95" s="3"/>
      <c r="J95" s="3"/>
    </row>
    <row r="96" spans="1:10" ht="15" x14ac:dyDescent="0.35">
      <c r="A96" s="491" t="s">
        <v>2659</v>
      </c>
      <c r="B96" s="491"/>
      <c r="C96" s="14"/>
      <c r="D96" s="14">
        <v>3060</v>
      </c>
      <c r="E96" s="3"/>
      <c r="F96" s="3"/>
      <c r="G96" s="3"/>
      <c r="H96" s="3"/>
      <c r="I96" s="3"/>
      <c r="J96" s="3"/>
    </row>
    <row r="97" spans="1:10" x14ac:dyDescent="0.2">
      <c r="A97" s="491" t="s">
        <v>1320</v>
      </c>
      <c r="B97" s="491"/>
      <c r="C97" s="3"/>
      <c r="D97" s="3">
        <f>SUM(D94:D96)</f>
        <v>4210</v>
      </c>
      <c r="E97" s="3"/>
      <c r="F97" s="3"/>
      <c r="G97" s="3"/>
      <c r="H97" s="3"/>
      <c r="I97" s="3"/>
      <c r="J97" s="3"/>
    </row>
    <row r="98" spans="1:10" x14ac:dyDescent="0.2">
      <c r="A98" s="491"/>
      <c r="B98" s="491"/>
      <c r="C98" s="21"/>
      <c r="D98" s="3"/>
      <c r="E98" s="3"/>
      <c r="F98" s="3"/>
      <c r="G98" s="3"/>
      <c r="H98" s="3"/>
      <c r="I98" s="3"/>
      <c r="J98" s="3"/>
    </row>
    <row r="99" spans="1:10" ht="13.5" x14ac:dyDescent="0.25">
      <c r="A99" s="494" t="s">
        <v>119</v>
      </c>
      <c r="B99" s="491"/>
      <c r="C99" s="3"/>
      <c r="D99" s="3"/>
      <c r="E99" s="3">
        <v>2001</v>
      </c>
      <c r="F99" s="3">
        <v>2505</v>
      </c>
      <c r="G99" s="3">
        <v>2505</v>
      </c>
      <c r="H99" s="3">
        <v>2505</v>
      </c>
      <c r="I99" s="3">
        <v>2505</v>
      </c>
      <c r="J99" s="3"/>
    </row>
    <row r="100" spans="1:10" x14ac:dyDescent="0.2">
      <c r="A100" s="491" t="s">
        <v>120</v>
      </c>
      <c r="B100" s="491"/>
      <c r="C100" s="3"/>
      <c r="D100" s="3">
        <v>550</v>
      </c>
      <c r="E100" s="3"/>
      <c r="F100" s="3"/>
      <c r="G100" s="3"/>
      <c r="H100" s="3"/>
      <c r="I100" s="3"/>
      <c r="J100" s="3"/>
    </row>
    <row r="101" spans="1:10" x14ac:dyDescent="0.2">
      <c r="A101" s="491" t="s">
        <v>1425</v>
      </c>
      <c r="B101" s="491"/>
      <c r="C101" s="3"/>
      <c r="D101" s="3">
        <v>25</v>
      </c>
      <c r="E101" s="3"/>
      <c r="F101" s="3"/>
      <c r="G101" s="3"/>
      <c r="H101" s="3"/>
      <c r="I101" s="3"/>
      <c r="J101" s="3"/>
    </row>
    <row r="102" spans="1:10" x14ac:dyDescent="0.2">
      <c r="A102" s="491" t="s">
        <v>2135</v>
      </c>
      <c r="B102" s="491"/>
      <c r="C102" s="3"/>
      <c r="D102" s="3">
        <v>80</v>
      </c>
      <c r="E102" s="3"/>
      <c r="F102" s="3"/>
      <c r="G102" s="3"/>
      <c r="H102" s="3"/>
      <c r="I102" s="3"/>
      <c r="J102" s="3"/>
    </row>
    <row r="103" spans="1:10" x14ac:dyDescent="0.2">
      <c r="A103" s="491" t="s">
        <v>1834</v>
      </c>
      <c r="B103" s="491"/>
      <c r="C103" s="3"/>
      <c r="D103" s="3">
        <v>150</v>
      </c>
      <c r="E103" s="3"/>
      <c r="F103" s="3"/>
      <c r="G103" s="3"/>
      <c r="H103" s="3"/>
      <c r="I103" s="3"/>
      <c r="J103" s="3"/>
    </row>
    <row r="104" spans="1:10" x14ac:dyDescent="0.2">
      <c r="A104" s="491" t="s">
        <v>2136</v>
      </c>
      <c r="B104" s="491"/>
      <c r="C104" s="3"/>
      <c r="D104" s="3">
        <v>150</v>
      </c>
      <c r="E104" s="3"/>
      <c r="F104" s="3"/>
      <c r="G104" s="3"/>
      <c r="H104" s="3"/>
      <c r="I104" s="3"/>
      <c r="J104" s="3"/>
    </row>
    <row r="105" spans="1:10" x14ac:dyDescent="0.2">
      <c r="A105" s="491" t="s">
        <v>2137</v>
      </c>
      <c r="B105" s="491"/>
      <c r="C105" s="3"/>
      <c r="D105" s="3">
        <v>150</v>
      </c>
      <c r="E105" s="3"/>
      <c r="F105" s="3"/>
      <c r="G105" s="3"/>
      <c r="H105" s="3"/>
      <c r="I105" s="3"/>
      <c r="J105" s="3"/>
    </row>
    <row r="106" spans="1:10" x14ac:dyDescent="0.2">
      <c r="A106" s="491" t="s">
        <v>1208</v>
      </c>
      <c r="B106" s="491"/>
      <c r="C106" s="3"/>
      <c r="D106" s="3">
        <v>100</v>
      </c>
      <c r="E106" s="3"/>
      <c r="F106" s="3"/>
      <c r="G106" s="3"/>
      <c r="H106" s="3"/>
      <c r="I106" s="3"/>
      <c r="J106" s="3"/>
    </row>
    <row r="107" spans="1:10" x14ac:dyDescent="0.2">
      <c r="A107" s="491" t="s">
        <v>1964</v>
      </c>
      <c r="B107" s="491"/>
      <c r="C107" s="3"/>
      <c r="D107" s="3">
        <v>100</v>
      </c>
      <c r="E107" s="3"/>
      <c r="F107" s="3"/>
      <c r="G107" s="3"/>
      <c r="H107" s="3"/>
      <c r="I107" s="3"/>
      <c r="J107" s="3"/>
    </row>
    <row r="108" spans="1:10" ht="15" x14ac:dyDescent="0.35">
      <c r="A108" s="491" t="s">
        <v>101</v>
      </c>
      <c r="B108" s="491"/>
      <c r="C108" s="14"/>
      <c r="D108" s="14">
        <v>1200</v>
      </c>
      <c r="E108" s="3"/>
      <c r="F108" s="3"/>
      <c r="G108" s="3"/>
      <c r="H108" s="3"/>
      <c r="I108" s="3"/>
      <c r="J108" s="3"/>
    </row>
    <row r="109" spans="1:10" x14ac:dyDescent="0.2">
      <c r="A109" s="491" t="s">
        <v>1320</v>
      </c>
      <c r="B109" s="491"/>
      <c r="C109" s="3"/>
      <c r="D109" s="3">
        <f>SUM(D100:D108)</f>
        <v>2505</v>
      </c>
      <c r="E109" s="3"/>
      <c r="F109" s="3"/>
      <c r="G109" s="3"/>
      <c r="H109" s="3"/>
      <c r="I109" s="3"/>
      <c r="J109" s="3"/>
    </row>
    <row r="110" spans="1:10" x14ac:dyDescent="0.2">
      <c r="A110" s="491"/>
      <c r="B110" s="491"/>
      <c r="C110" s="21"/>
      <c r="D110" s="3"/>
      <c r="E110" s="3"/>
      <c r="F110" s="453"/>
      <c r="G110" s="453"/>
      <c r="H110" s="475"/>
      <c r="I110" s="557"/>
      <c r="J110" s="557"/>
    </row>
    <row r="111" spans="1:10" ht="13.5" x14ac:dyDescent="0.25">
      <c r="A111" s="20" t="s">
        <v>1196</v>
      </c>
      <c r="B111" s="491"/>
      <c r="C111" s="3"/>
      <c r="D111" s="3"/>
      <c r="E111" s="3">
        <v>2866</v>
      </c>
      <c r="F111" s="3">
        <v>3374</v>
      </c>
      <c r="G111" s="3">
        <v>3543</v>
      </c>
      <c r="H111" s="3">
        <v>3543</v>
      </c>
      <c r="I111" s="3">
        <v>3543</v>
      </c>
      <c r="J111" s="3"/>
    </row>
    <row r="112" spans="1:10" x14ac:dyDescent="0.2">
      <c r="A112" s="491" t="s">
        <v>940</v>
      </c>
      <c r="B112" s="491"/>
      <c r="C112" s="3"/>
      <c r="D112" s="3">
        <v>3543</v>
      </c>
      <c r="E112" s="3"/>
      <c r="F112" s="3"/>
      <c r="G112" s="3"/>
      <c r="H112" s="3"/>
      <c r="I112" s="3"/>
      <c r="J112" s="3"/>
    </row>
    <row r="113" spans="1:10" x14ac:dyDescent="0.2">
      <c r="A113" s="491"/>
      <c r="B113" s="491"/>
      <c r="C113" s="3"/>
      <c r="D113" s="3"/>
      <c r="E113" s="3"/>
      <c r="F113" s="453"/>
      <c r="G113" s="453"/>
      <c r="H113" s="475"/>
      <c r="I113" s="557"/>
      <c r="J113" s="557"/>
    </row>
    <row r="114" spans="1:10" ht="13.5" x14ac:dyDescent="0.25">
      <c r="A114" s="494" t="s">
        <v>747</v>
      </c>
      <c r="B114" s="491"/>
      <c r="C114" s="3"/>
      <c r="D114" s="3"/>
      <c r="E114" s="3">
        <v>1065</v>
      </c>
      <c r="F114" s="3">
        <v>500</v>
      </c>
      <c r="G114" s="3">
        <v>1000</v>
      </c>
      <c r="H114" s="3">
        <v>1000</v>
      </c>
      <c r="I114" s="3">
        <v>1000</v>
      </c>
      <c r="J114" s="3"/>
    </row>
    <row r="115" spans="1:10" x14ac:dyDescent="0.2">
      <c r="A115" s="491" t="s">
        <v>1577</v>
      </c>
      <c r="B115" s="491"/>
      <c r="C115" s="3"/>
      <c r="D115" s="3">
        <v>1000</v>
      </c>
      <c r="E115" s="3"/>
      <c r="F115" s="3"/>
      <c r="G115" s="3"/>
      <c r="H115" s="3"/>
      <c r="I115" s="3"/>
      <c r="J115" s="3"/>
    </row>
    <row r="116" spans="1:10" x14ac:dyDescent="0.2">
      <c r="A116" s="491"/>
      <c r="B116" s="491"/>
      <c r="C116" s="3"/>
      <c r="D116" s="3"/>
      <c r="E116" s="3"/>
      <c r="F116" s="3"/>
      <c r="G116" s="3"/>
      <c r="H116" s="3"/>
      <c r="I116" s="3"/>
      <c r="J116" s="3"/>
    </row>
    <row r="117" spans="1:10" ht="13.5" x14ac:dyDescent="0.25">
      <c r="A117" s="494" t="s">
        <v>1578</v>
      </c>
      <c r="B117" s="491"/>
      <c r="C117" s="3"/>
      <c r="D117" s="3"/>
      <c r="E117" s="3">
        <v>2836</v>
      </c>
      <c r="F117" s="3">
        <v>5175</v>
      </c>
      <c r="G117" s="3">
        <v>4000</v>
      </c>
      <c r="H117" s="3">
        <v>4000</v>
      </c>
      <c r="I117" s="3">
        <v>4000</v>
      </c>
      <c r="J117" s="3"/>
    </row>
    <row r="118" spans="1:10" x14ac:dyDescent="0.2">
      <c r="A118" s="491" t="s">
        <v>932</v>
      </c>
      <c r="B118" s="491"/>
      <c r="C118" s="3"/>
      <c r="D118" s="3">
        <v>1350</v>
      </c>
      <c r="E118" s="3"/>
      <c r="F118" s="3"/>
      <c r="G118" s="3"/>
      <c r="H118" s="3"/>
      <c r="I118" s="3"/>
      <c r="J118" s="3"/>
    </row>
    <row r="119" spans="1:10" x14ac:dyDescent="0.2">
      <c r="A119" s="491" t="s">
        <v>1835</v>
      </c>
      <c r="B119" s="491"/>
      <c r="C119" s="3"/>
      <c r="D119" s="3">
        <v>825</v>
      </c>
      <c r="E119" s="3"/>
      <c r="F119" s="3"/>
      <c r="G119" s="3"/>
      <c r="H119" s="3"/>
      <c r="I119" s="3"/>
      <c r="J119" s="3"/>
    </row>
    <row r="120" spans="1:10" ht="15" x14ac:dyDescent="0.35">
      <c r="A120" s="491" t="s">
        <v>1709</v>
      </c>
      <c r="B120" s="491"/>
      <c r="C120" s="3"/>
      <c r="D120" s="14">
        <v>1825</v>
      </c>
      <c r="E120" s="3"/>
      <c r="F120" s="3"/>
      <c r="G120" s="3"/>
      <c r="H120" s="3"/>
      <c r="I120" s="3"/>
      <c r="J120" s="3"/>
    </row>
    <row r="121" spans="1:10" x14ac:dyDescent="0.2">
      <c r="A121" s="491" t="s">
        <v>1320</v>
      </c>
      <c r="B121" s="491"/>
      <c r="C121" s="3"/>
      <c r="D121" s="3">
        <f>SUM(D118:D120)</f>
        <v>4000</v>
      </c>
      <c r="E121" s="3"/>
      <c r="F121" s="3"/>
      <c r="G121" s="3"/>
      <c r="H121" s="3"/>
      <c r="I121" s="3"/>
      <c r="J121" s="3"/>
    </row>
    <row r="122" spans="1:10" x14ac:dyDescent="0.2">
      <c r="A122" s="491"/>
      <c r="B122" s="491"/>
      <c r="C122" s="3"/>
      <c r="D122" s="3"/>
      <c r="E122" s="3"/>
      <c r="F122" s="3"/>
      <c r="G122" s="3"/>
      <c r="H122" s="3"/>
      <c r="I122" s="3"/>
      <c r="J122" s="3"/>
    </row>
    <row r="123" spans="1:10" ht="13.5" x14ac:dyDescent="0.25">
      <c r="A123" s="494" t="s">
        <v>1115</v>
      </c>
      <c r="B123" s="491"/>
      <c r="C123" s="3"/>
      <c r="D123" s="3"/>
      <c r="E123" s="3">
        <v>625</v>
      </c>
      <c r="F123" s="3">
        <v>1500</v>
      </c>
      <c r="G123" s="3">
        <v>1500</v>
      </c>
      <c r="H123" s="3">
        <v>1500</v>
      </c>
      <c r="I123" s="3">
        <v>1500</v>
      </c>
      <c r="J123" s="3"/>
    </row>
    <row r="124" spans="1:10" x14ac:dyDescent="0.2">
      <c r="A124" s="491" t="s">
        <v>1759</v>
      </c>
      <c r="B124" s="491"/>
      <c r="C124" s="3"/>
      <c r="D124" s="3">
        <v>1500</v>
      </c>
      <c r="E124" s="3"/>
      <c r="F124" s="3"/>
      <c r="G124" s="3"/>
      <c r="H124" s="3"/>
      <c r="I124" s="3"/>
      <c r="J124" s="3"/>
    </row>
    <row r="125" spans="1:10" x14ac:dyDescent="0.2">
      <c r="A125" s="491"/>
      <c r="B125" s="491"/>
      <c r="C125" s="3"/>
      <c r="D125" s="3"/>
      <c r="E125" s="3"/>
      <c r="F125" s="3"/>
      <c r="G125" s="3"/>
      <c r="H125" s="3"/>
      <c r="I125" s="3"/>
      <c r="J125" s="3"/>
    </row>
    <row r="126" spans="1:10" ht="13.5" x14ac:dyDescent="0.25">
      <c r="A126" s="494" t="s">
        <v>114</v>
      </c>
      <c r="B126" s="491"/>
      <c r="C126" s="3"/>
      <c r="D126" s="3"/>
      <c r="E126" s="3">
        <f>7377</f>
        <v>7377</v>
      </c>
      <c r="F126" s="3">
        <v>2500</v>
      </c>
      <c r="G126" s="3">
        <v>7500</v>
      </c>
      <c r="H126" s="3">
        <v>7500</v>
      </c>
      <c r="I126" s="3">
        <v>7500</v>
      </c>
      <c r="J126" s="3"/>
    </row>
    <row r="127" spans="1:10" x14ac:dyDescent="0.2">
      <c r="A127" s="27" t="s">
        <v>2043</v>
      </c>
      <c r="B127" s="491"/>
      <c r="C127" s="3"/>
      <c r="D127" s="3">
        <v>2000</v>
      </c>
      <c r="E127" s="3"/>
      <c r="F127" s="453"/>
      <c r="G127" s="453"/>
      <c r="H127" s="475"/>
      <c r="I127" s="557"/>
      <c r="J127" s="557"/>
    </row>
    <row r="128" spans="1:10" s="453" customFormat="1" x14ac:dyDescent="0.2">
      <c r="A128" s="27" t="s">
        <v>1710</v>
      </c>
      <c r="B128" s="491"/>
      <c r="C128" s="3"/>
      <c r="D128" s="3">
        <v>500</v>
      </c>
      <c r="E128" s="3"/>
      <c r="H128" s="475"/>
      <c r="I128" s="557"/>
      <c r="J128" s="557"/>
    </row>
    <row r="129" spans="1:10" ht="15" x14ac:dyDescent="0.35">
      <c r="A129" s="27" t="s">
        <v>343</v>
      </c>
      <c r="B129" s="491"/>
      <c r="C129" s="3"/>
      <c r="D129" s="14">
        <v>5000</v>
      </c>
      <c r="E129" s="3"/>
      <c r="F129" s="453"/>
      <c r="G129" s="453"/>
      <c r="H129" s="475"/>
      <c r="I129" s="557"/>
      <c r="J129" s="557"/>
    </row>
    <row r="130" spans="1:10" x14ac:dyDescent="0.2">
      <c r="A130" s="27" t="s">
        <v>1320</v>
      </c>
      <c r="B130" s="491"/>
      <c r="C130" s="3"/>
      <c r="D130" s="3">
        <f>SUM(D127:D129)</f>
        <v>7500</v>
      </c>
      <c r="E130" s="3"/>
      <c r="F130" s="453"/>
      <c r="G130" s="453"/>
      <c r="H130" s="475"/>
      <c r="I130" s="557"/>
      <c r="J130" s="557"/>
    </row>
    <row r="131" spans="1:10" x14ac:dyDescent="0.2">
      <c r="A131" s="27"/>
      <c r="B131" s="491"/>
      <c r="C131" s="3"/>
      <c r="D131" s="3"/>
      <c r="E131" s="3"/>
      <c r="F131" s="453"/>
      <c r="G131" s="453"/>
      <c r="H131" s="475"/>
      <c r="I131" s="557"/>
      <c r="J131" s="557"/>
    </row>
    <row r="132" spans="1:10" x14ac:dyDescent="0.2">
      <c r="A132" s="491"/>
      <c r="B132" s="491"/>
      <c r="C132" s="3"/>
      <c r="D132" s="3"/>
      <c r="E132" s="3"/>
      <c r="F132" s="3"/>
      <c r="G132" s="3"/>
      <c r="H132" s="3"/>
      <c r="I132" s="3"/>
      <c r="J132" s="3"/>
    </row>
    <row r="133" spans="1:10" ht="13.5" x14ac:dyDescent="0.25">
      <c r="A133" s="494" t="s">
        <v>1116</v>
      </c>
      <c r="B133" s="491"/>
      <c r="C133" s="3"/>
      <c r="D133" s="3"/>
      <c r="E133" s="3">
        <v>0</v>
      </c>
      <c r="F133" s="3">
        <v>100</v>
      </c>
      <c r="G133" s="3">
        <v>100</v>
      </c>
      <c r="H133" s="3">
        <v>100</v>
      </c>
      <c r="I133" s="3">
        <v>100</v>
      </c>
      <c r="J133" s="3"/>
    </row>
    <row r="134" spans="1:10" x14ac:dyDescent="0.2">
      <c r="A134" s="491" t="s">
        <v>1541</v>
      </c>
      <c r="B134" s="491"/>
      <c r="C134" s="3"/>
      <c r="D134" s="3">
        <v>100</v>
      </c>
      <c r="E134" s="3"/>
      <c r="F134" s="3"/>
      <c r="G134" s="3"/>
      <c r="H134" s="3"/>
      <c r="I134" s="3"/>
      <c r="J134" s="3"/>
    </row>
    <row r="135" spans="1:10" x14ac:dyDescent="0.2">
      <c r="A135" s="491"/>
      <c r="B135" s="491"/>
      <c r="C135" s="3"/>
      <c r="D135" s="3"/>
      <c r="E135" s="3"/>
      <c r="F135" s="3"/>
      <c r="G135" s="3"/>
      <c r="H135" s="3"/>
      <c r="I135" s="3"/>
      <c r="J135" s="3"/>
    </row>
    <row r="136" spans="1:10" ht="13.5" x14ac:dyDescent="0.25">
      <c r="A136" s="494" t="s">
        <v>852</v>
      </c>
      <c r="B136" s="491"/>
      <c r="C136" s="3"/>
      <c r="D136" s="3"/>
      <c r="E136" s="3">
        <f>1282+640</f>
        <v>1922</v>
      </c>
      <c r="F136" s="3">
        <v>1500</v>
      </c>
      <c r="G136" s="3">
        <v>1500</v>
      </c>
      <c r="H136" s="3">
        <v>1500</v>
      </c>
      <c r="I136" s="3">
        <v>1500</v>
      </c>
      <c r="J136" s="3"/>
    </row>
    <row r="137" spans="1:10" x14ac:dyDescent="0.2">
      <c r="A137" s="491" t="s">
        <v>1965</v>
      </c>
      <c r="B137" s="491"/>
      <c r="C137" s="3"/>
      <c r="D137" s="3">
        <v>1500</v>
      </c>
      <c r="E137" s="3"/>
      <c r="F137" s="3"/>
      <c r="G137" s="3"/>
      <c r="H137" s="3"/>
      <c r="I137" s="3"/>
      <c r="J137" s="3"/>
    </row>
    <row r="138" spans="1:10" x14ac:dyDescent="0.2">
      <c r="A138" s="491"/>
      <c r="B138" s="491"/>
      <c r="C138" s="22"/>
      <c r="D138" s="3"/>
      <c r="E138" s="3"/>
      <c r="F138" s="3"/>
      <c r="G138" s="3"/>
      <c r="H138" s="3"/>
      <c r="I138" s="3"/>
      <c r="J138" s="3"/>
    </row>
    <row r="139" spans="1:10" ht="15" x14ac:dyDescent="0.35">
      <c r="A139" s="494" t="s">
        <v>853</v>
      </c>
      <c r="B139" s="491"/>
      <c r="C139" s="3"/>
      <c r="D139" s="14">
        <v>0</v>
      </c>
      <c r="E139" s="14">
        <v>1093</v>
      </c>
      <c r="F139" s="14">
        <v>2000</v>
      </c>
      <c r="G139" s="14">
        <v>2000</v>
      </c>
      <c r="H139" s="14">
        <v>2000</v>
      </c>
      <c r="I139" s="14">
        <v>2000</v>
      </c>
      <c r="J139" s="14"/>
    </row>
    <row r="140" spans="1:10" x14ac:dyDescent="0.2">
      <c r="A140" s="491" t="s">
        <v>1711</v>
      </c>
      <c r="B140" s="491"/>
      <c r="C140" s="3"/>
      <c r="D140" s="491"/>
      <c r="E140" s="382"/>
      <c r="F140" s="382"/>
      <c r="G140" s="382"/>
      <c r="H140" s="475"/>
      <c r="I140" s="413"/>
    </row>
    <row r="141" spans="1:10" x14ac:dyDescent="0.2">
      <c r="B141" s="382"/>
      <c r="C141" s="3"/>
      <c r="D141" s="3"/>
      <c r="E141" s="4"/>
      <c r="H141" s="475"/>
      <c r="I141" s="413"/>
    </row>
    <row r="142" spans="1:10" x14ac:dyDescent="0.2">
      <c r="A142" s="348" t="s">
        <v>1405</v>
      </c>
      <c r="B142" s="382"/>
      <c r="C142" s="3"/>
      <c r="D142" s="3"/>
      <c r="E142" s="3">
        <f t="shared" ref="E142:J142" si="0">SUM(E6:E141)</f>
        <v>552626</v>
      </c>
      <c r="F142" s="3">
        <f t="shared" si="0"/>
        <v>555913</v>
      </c>
      <c r="G142" s="3">
        <f t="shared" si="0"/>
        <v>577712</v>
      </c>
      <c r="H142" s="3">
        <f t="shared" si="0"/>
        <v>623818</v>
      </c>
      <c r="I142" s="3">
        <f t="shared" si="0"/>
        <v>640310</v>
      </c>
      <c r="J142" s="3">
        <f t="shared" si="0"/>
        <v>0</v>
      </c>
    </row>
    <row r="143" spans="1:10" x14ac:dyDescent="0.2">
      <c r="B143" s="382"/>
      <c r="C143" s="3"/>
      <c r="D143" s="382"/>
      <c r="H143" s="475"/>
      <c r="I143" s="413"/>
    </row>
    <row r="144" spans="1:10" x14ac:dyDescent="0.2">
      <c r="A144" s="348" t="s">
        <v>628</v>
      </c>
      <c r="E144" s="3">
        <f>SUM(E6:E74)</f>
        <v>527334</v>
      </c>
      <c r="F144" s="3">
        <f>SUM(F6:F74)</f>
        <v>529689</v>
      </c>
      <c r="G144" s="3">
        <f>SUM(G6:G74)</f>
        <v>546844</v>
      </c>
      <c r="H144" s="3">
        <f t="shared" ref="H144" si="1">SUM(H6:H74)</f>
        <v>591930</v>
      </c>
      <c r="I144" s="3">
        <f>SUM(I6:I74)</f>
        <v>608422</v>
      </c>
      <c r="J144" s="3">
        <f>SUM(J6:J74)</f>
        <v>0</v>
      </c>
    </row>
    <row r="145" spans="1:10" x14ac:dyDescent="0.2">
      <c r="A145" s="348" t="s">
        <v>1024</v>
      </c>
      <c r="E145" s="3">
        <f t="shared" ref="E145:J145" si="2">SUM(E75:E136)</f>
        <v>24199</v>
      </c>
      <c r="F145" s="3">
        <f t="shared" si="2"/>
        <v>24224</v>
      </c>
      <c r="G145" s="3">
        <f t="shared" si="2"/>
        <v>28868</v>
      </c>
      <c r="H145" s="3">
        <f t="shared" ref="H145" si="3">SUM(H75:H136)</f>
        <v>29888</v>
      </c>
      <c r="I145" s="3">
        <f>SUM(I75:I136)</f>
        <v>29888</v>
      </c>
      <c r="J145" s="3">
        <f t="shared" si="2"/>
        <v>0</v>
      </c>
    </row>
    <row r="146" spans="1:10" ht="15" x14ac:dyDescent="0.35">
      <c r="A146" s="348" t="s">
        <v>1025</v>
      </c>
      <c r="E146" s="14">
        <f t="shared" ref="E146:J146" si="4">SUM(E139:E141)</f>
        <v>1093</v>
      </c>
      <c r="F146" s="14">
        <f t="shared" si="4"/>
        <v>2000</v>
      </c>
      <c r="G146" s="14">
        <f t="shared" si="4"/>
        <v>2000</v>
      </c>
      <c r="H146" s="14">
        <f t="shared" ref="H146" si="5">SUM(H139:H141)</f>
        <v>2000</v>
      </c>
      <c r="I146" s="14">
        <f>SUM(I139:I141)</f>
        <v>2000</v>
      </c>
      <c r="J146" s="14">
        <f t="shared" si="4"/>
        <v>0</v>
      </c>
    </row>
    <row r="147" spans="1:10" x14ac:dyDescent="0.2">
      <c r="A147" s="348" t="s">
        <v>1320</v>
      </c>
      <c r="E147" s="3">
        <f t="shared" ref="E147:J147" si="6">SUM(E144:E146)</f>
        <v>552626</v>
      </c>
      <c r="F147" s="3">
        <f t="shared" si="6"/>
        <v>555913</v>
      </c>
      <c r="G147" s="3">
        <f t="shared" si="6"/>
        <v>577712</v>
      </c>
      <c r="H147" s="3">
        <f t="shared" ref="H147" si="7">SUM(H144:H146)</f>
        <v>623818</v>
      </c>
      <c r="I147" s="3">
        <f>SUM(I144:I146)</f>
        <v>640310</v>
      </c>
      <c r="J147" s="3">
        <f t="shared" si="6"/>
        <v>0</v>
      </c>
    </row>
    <row r="148" spans="1:10" x14ac:dyDescent="0.2">
      <c r="H148" s="475"/>
      <c r="I148" s="413"/>
    </row>
    <row r="149" spans="1:10" x14ac:dyDescent="0.2">
      <c r="H149" s="475"/>
      <c r="I149" s="413"/>
      <c r="J149" s="3">
        <v>16492</v>
      </c>
    </row>
    <row r="150" spans="1:10" x14ac:dyDescent="0.2">
      <c r="H150" s="475"/>
      <c r="I150" s="3">
        <f>I147-H147</f>
        <v>16492</v>
      </c>
      <c r="J150" s="3">
        <f>J147-H147</f>
        <v>-623818</v>
      </c>
    </row>
    <row r="151" spans="1:10" x14ac:dyDescent="0.2">
      <c r="H151" s="475"/>
      <c r="I151" s="413"/>
      <c r="J151" s="3">
        <f>J149-J150</f>
        <v>640310</v>
      </c>
    </row>
    <row r="152" spans="1:10" x14ac:dyDescent="0.2">
      <c r="H152" s="475"/>
      <c r="I152" s="413"/>
    </row>
    <row r="153" spans="1:10" x14ac:dyDescent="0.2">
      <c r="H153" s="475"/>
      <c r="I153" s="413"/>
    </row>
    <row r="154" spans="1:10" x14ac:dyDescent="0.2">
      <c r="H154" s="475"/>
      <c r="I154" s="413"/>
    </row>
    <row r="155" spans="1:10" x14ac:dyDescent="0.2">
      <c r="H155" s="475"/>
      <c r="I155" s="413"/>
    </row>
    <row r="156" spans="1:10" x14ac:dyDescent="0.2">
      <c r="H156" s="475"/>
      <c r="I156" s="413"/>
    </row>
    <row r="157" spans="1:10" x14ac:dyDescent="0.2">
      <c r="H157" s="475"/>
      <c r="I157" s="413"/>
    </row>
    <row r="158" spans="1:10" x14ac:dyDescent="0.2">
      <c r="H158" s="475"/>
      <c r="I158" s="413"/>
    </row>
    <row r="159" spans="1:10" x14ac:dyDescent="0.2">
      <c r="H159" s="475"/>
      <c r="I159" s="413"/>
    </row>
    <row r="160" spans="1:10" x14ac:dyDescent="0.2">
      <c r="H160" s="475"/>
      <c r="I160" s="413"/>
    </row>
    <row r="161" spans="8:9" x14ac:dyDescent="0.2">
      <c r="H161" s="475"/>
      <c r="I161" s="413"/>
    </row>
    <row r="162" spans="8:9" x14ac:dyDescent="0.2">
      <c r="H162" s="475"/>
      <c r="I162" s="413"/>
    </row>
    <row r="163" spans="8:9" x14ac:dyDescent="0.2">
      <c r="H163" s="475"/>
      <c r="I163" s="413"/>
    </row>
    <row r="164" spans="8:9" x14ac:dyDescent="0.2">
      <c r="H164" s="475"/>
      <c r="I164" s="413"/>
    </row>
    <row r="165" spans="8:9" x14ac:dyDescent="0.2">
      <c r="H165" s="475"/>
      <c r="I165" s="413"/>
    </row>
    <row r="166" spans="8:9" x14ac:dyDescent="0.2">
      <c r="H166" s="475"/>
      <c r="I166" s="413"/>
    </row>
    <row r="167" spans="8:9" x14ac:dyDescent="0.2">
      <c r="H167" s="475"/>
      <c r="I167" s="413"/>
    </row>
    <row r="168" spans="8:9" x14ac:dyDescent="0.2">
      <c r="H168" s="475"/>
      <c r="I168" s="413"/>
    </row>
    <row r="169" spans="8:9" x14ac:dyDescent="0.2">
      <c r="H169" s="475"/>
      <c r="I169" s="413"/>
    </row>
    <row r="170" spans="8:9" x14ac:dyDescent="0.2">
      <c r="H170" s="475"/>
      <c r="I170" s="413"/>
    </row>
    <row r="171" spans="8:9" x14ac:dyDescent="0.2">
      <c r="H171" s="475"/>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1" manualBreakCount="1">
    <brk id="59" max="9"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385"/>
  <sheetViews>
    <sheetView view="pageBreakPreview" zoomScaleNormal="100" zoomScaleSheetLayoutView="100" workbookViewId="0">
      <pane ySplit="5" topLeftCell="A347" activePane="bottomLeft" state="frozen"/>
      <selection activeCell="D43" sqref="D43"/>
      <selection pane="bottomLeft" activeCell="J6" sqref="J6:J356"/>
    </sheetView>
  </sheetViews>
  <sheetFormatPr defaultColWidth="51.140625" defaultRowHeight="12.75" x14ac:dyDescent="0.2"/>
  <cols>
    <col min="1" max="1" width="51.140625" style="348" customWidth="1"/>
    <col min="2" max="6" width="10.85546875" style="348" customWidth="1"/>
    <col min="7" max="7" width="11.7109375" style="348" bestFit="1" customWidth="1"/>
    <col min="8" max="8" width="12.85546875" style="348" customWidth="1"/>
    <col min="9" max="9" width="11.28515625" style="348" bestFit="1" customWidth="1"/>
    <col min="10" max="10" width="10.85546875" style="348" customWidth="1"/>
    <col min="11" max="73" width="12.7109375" style="348" customWidth="1"/>
    <col min="74" max="16384" width="51.140625" style="348"/>
  </cols>
  <sheetData>
    <row r="1" spans="1:10" x14ac:dyDescent="0.2">
      <c r="A1" s="562" t="str">
        <f>'SUMMARY BY FUND'!A1:J1</f>
        <v>2023-24 BUDGET</v>
      </c>
      <c r="B1" s="563"/>
      <c r="C1" s="563"/>
      <c r="D1" s="563"/>
      <c r="E1" s="563"/>
      <c r="F1" s="563"/>
      <c r="G1" s="563"/>
      <c r="H1" s="563"/>
      <c r="I1" s="563"/>
      <c r="J1" s="563"/>
    </row>
    <row r="2" spans="1:10" ht="18.75" x14ac:dyDescent="0.3">
      <c r="A2" s="202" t="s">
        <v>1869</v>
      </c>
      <c r="B2" s="202"/>
      <c r="C2" s="202"/>
      <c r="D2" s="202"/>
      <c r="E2" s="202"/>
      <c r="F2" s="202"/>
      <c r="G2" s="416"/>
      <c r="H2" s="416"/>
      <c r="I2" s="416"/>
      <c r="J2" s="416"/>
    </row>
    <row r="3" spans="1:10" x14ac:dyDescent="0.2">
      <c r="A3" s="416"/>
      <c r="B3" s="3"/>
      <c r="C3" s="3"/>
      <c r="D3" s="3"/>
      <c r="E3" s="3"/>
      <c r="F3" s="3"/>
      <c r="G3" s="416"/>
      <c r="H3" s="416"/>
      <c r="I3" s="416"/>
      <c r="J3" s="416"/>
    </row>
    <row r="4" spans="1:10" x14ac:dyDescent="0.2">
      <c r="A4" s="416"/>
      <c r="B4" s="3"/>
      <c r="C4" s="3"/>
      <c r="D4" s="3"/>
      <c r="E4" s="19" t="s">
        <v>250</v>
      </c>
      <c r="F4" s="19" t="s">
        <v>251</v>
      </c>
      <c r="G4" s="19" t="s">
        <v>68</v>
      </c>
      <c r="H4" s="19" t="s">
        <v>432</v>
      </c>
      <c r="I4" s="19" t="s">
        <v>338</v>
      </c>
      <c r="J4" s="19" t="s">
        <v>370</v>
      </c>
    </row>
    <row r="5" spans="1:10" ht="15" x14ac:dyDescent="0.35">
      <c r="A5" s="416"/>
      <c r="B5" s="3"/>
      <c r="C5" s="3"/>
      <c r="D5" s="3"/>
      <c r="E5" s="419" t="s">
        <v>2163</v>
      </c>
      <c r="F5" s="419" t="s">
        <v>2290</v>
      </c>
      <c r="G5" s="419" t="s">
        <v>2507</v>
      </c>
      <c r="H5" s="419" t="s">
        <v>2507</v>
      </c>
      <c r="I5" s="419" t="s">
        <v>2507</v>
      </c>
      <c r="J5" s="419" t="s">
        <v>2507</v>
      </c>
    </row>
    <row r="6" spans="1:10" ht="13.5" x14ac:dyDescent="0.25">
      <c r="A6" s="424" t="s">
        <v>855</v>
      </c>
      <c r="B6" s="390"/>
      <c r="C6" s="390"/>
      <c r="D6" s="390"/>
      <c r="E6" s="390">
        <v>43418</v>
      </c>
      <c r="F6" s="390">
        <v>44650</v>
      </c>
      <c r="G6" s="390">
        <v>46010</v>
      </c>
      <c r="H6" s="390">
        <v>46010</v>
      </c>
      <c r="I6" s="390">
        <v>46010</v>
      </c>
      <c r="J6" s="390"/>
    </row>
    <row r="7" spans="1:10" x14ac:dyDescent="0.2">
      <c r="A7" s="393" t="s">
        <v>420</v>
      </c>
      <c r="B7" s="390">
        <v>52</v>
      </c>
      <c r="C7" s="390">
        <f>22.12*40</f>
        <v>884.80000000000007</v>
      </c>
      <c r="D7" s="394">
        <f>ROUND(B7*C7,0)</f>
        <v>46010</v>
      </c>
      <c r="E7" s="390"/>
      <c r="F7" s="390"/>
      <c r="G7" s="390"/>
      <c r="H7" s="390"/>
      <c r="I7" s="390"/>
      <c r="J7" s="390"/>
    </row>
    <row r="8" spans="1:10" x14ac:dyDescent="0.2">
      <c r="A8" s="393" t="s">
        <v>1320</v>
      </c>
      <c r="B8" s="390"/>
      <c r="C8" s="390"/>
      <c r="D8" s="390">
        <f>SUM(D7:D7)</f>
        <v>46010</v>
      </c>
      <c r="E8" s="390"/>
      <c r="F8" s="390"/>
      <c r="G8" s="390"/>
      <c r="H8" s="390"/>
      <c r="I8" s="390"/>
      <c r="J8" s="390"/>
    </row>
    <row r="9" spans="1:10" x14ac:dyDescent="0.2">
      <c r="A9" s="393"/>
      <c r="B9" s="390"/>
      <c r="C9" s="390"/>
      <c r="D9" s="390"/>
      <c r="E9" s="390"/>
      <c r="F9" s="390"/>
      <c r="G9" s="390"/>
      <c r="H9" s="390"/>
      <c r="I9" s="390"/>
      <c r="J9" s="390"/>
    </row>
    <row r="10" spans="1:10" ht="13.5" x14ac:dyDescent="0.25">
      <c r="A10" s="424" t="s">
        <v>1417</v>
      </c>
      <c r="B10" s="390"/>
      <c r="C10" s="390"/>
      <c r="D10" s="390"/>
      <c r="E10" s="390">
        <v>265144</v>
      </c>
      <c r="F10" s="390">
        <v>284644</v>
      </c>
      <c r="G10" s="390">
        <v>290655</v>
      </c>
      <c r="H10" s="390">
        <v>290655</v>
      </c>
      <c r="I10" s="390">
        <v>293712</v>
      </c>
      <c r="J10" s="390"/>
    </row>
    <row r="11" spans="1:10" x14ac:dyDescent="0.2">
      <c r="A11" s="393" t="s">
        <v>253</v>
      </c>
      <c r="B11" s="390">
        <v>52</v>
      </c>
      <c r="C11" s="390">
        <v>1735</v>
      </c>
      <c r="D11" s="390">
        <f>ROUND(B11*C11,0)</f>
        <v>90220</v>
      </c>
      <c r="E11" s="390"/>
      <c r="F11" s="390"/>
      <c r="G11" s="390"/>
      <c r="H11" s="390"/>
      <c r="I11" s="390"/>
      <c r="J11" s="390"/>
    </row>
    <row r="12" spans="1:10" x14ac:dyDescent="0.2">
      <c r="A12" s="393" t="s">
        <v>1261</v>
      </c>
      <c r="B12" s="390">
        <v>52</v>
      </c>
      <c r="C12" s="390">
        <f>31.9*40</f>
        <v>1276</v>
      </c>
      <c r="D12" s="390">
        <f>ROUND(B12*C12,0)</f>
        <v>66352</v>
      </c>
      <c r="E12" s="390"/>
      <c r="F12" s="390"/>
      <c r="G12" s="390"/>
      <c r="H12" s="390"/>
      <c r="I12" s="390"/>
      <c r="J12" s="390"/>
    </row>
    <row r="13" spans="1:10" x14ac:dyDescent="0.2">
      <c r="A13" s="393" t="s">
        <v>254</v>
      </c>
      <c r="B13" s="390">
        <v>52</v>
      </c>
      <c r="C13" s="390">
        <f>32.11*40</f>
        <v>1284.4000000000001</v>
      </c>
      <c r="D13" s="390">
        <f>ROUND(B13*C13,0)</f>
        <v>66789</v>
      </c>
      <c r="E13" s="390"/>
      <c r="F13" s="390"/>
      <c r="G13" s="390"/>
      <c r="H13" s="390"/>
      <c r="I13" s="390"/>
      <c r="J13" s="390"/>
    </row>
    <row r="14" spans="1:10" x14ac:dyDescent="0.2">
      <c r="A14" s="393" t="s">
        <v>2168</v>
      </c>
      <c r="B14" s="390">
        <v>52</v>
      </c>
      <c r="C14" s="390">
        <f>29.57*40</f>
        <v>1182.8</v>
      </c>
      <c r="D14" s="390">
        <f>ROUND(B14*C14,0)</f>
        <v>61506</v>
      </c>
      <c r="E14" s="390"/>
      <c r="F14" s="390"/>
      <c r="G14" s="390"/>
      <c r="H14" s="390"/>
      <c r="I14" s="390"/>
      <c r="J14" s="390"/>
    </row>
    <row r="15" spans="1:10" x14ac:dyDescent="0.2">
      <c r="A15" s="393" t="s">
        <v>806</v>
      </c>
      <c r="B15" s="390">
        <v>112</v>
      </c>
      <c r="C15" s="390">
        <f>AVERAGE(C12:C14)/40*1.5</f>
        <v>46.790000000000006</v>
      </c>
      <c r="D15" s="390">
        <f>+C15*B15</f>
        <v>5240.4800000000005</v>
      </c>
      <c r="E15" s="390"/>
      <c r="F15" s="390"/>
      <c r="G15" s="390"/>
      <c r="H15" s="390"/>
      <c r="I15" s="390"/>
      <c r="J15" s="390"/>
    </row>
    <row r="16" spans="1:10" x14ac:dyDescent="0.2">
      <c r="A16" s="393" t="s">
        <v>1039</v>
      </c>
      <c r="B16" s="390"/>
      <c r="C16" s="390"/>
      <c r="D16" s="394">
        <v>3605</v>
      </c>
      <c r="E16" s="390"/>
      <c r="F16" s="390"/>
      <c r="G16" s="390"/>
      <c r="H16" s="390"/>
      <c r="I16" s="390"/>
      <c r="J16" s="390"/>
    </row>
    <row r="17" spans="1:10" x14ac:dyDescent="0.2">
      <c r="A17" s="393" t="s">
        <v>1320</v>
      </c>
      <c r="B17" s="390"/>
      <c r="C17" s="390"/>
      <c r="D17" s="390">
        <f>SUM(D11:D16)</f>
        <v>293712.48</v>
      </c>
      <c r="E17" s="390"/>
      <c r="F17" s="390"/>
      <c r="G17" s="390"/>
      <c r="H17" s="390"/>
      <c r="I17" s="390"/>
      <c r="J17" s="390"/>
    </row>
    <row r="18" spans="1:10" x14ac:dyDescent="0.2">
      <c r="A18" s="393"/>
      <c r="B18" s="390"/>
      <c r="C18" s="390"/>
      <c r="D18" s="390"/>
      <c r="E18" s="390"/>
      <c r="F18" s="390"/>
      <c r="G18" s="390"/>
      <c r="H18" s="390"/>
      <c r="I18" s="390"/>
      <c r="J18" s="390"/>
    </row>
    <row r="19" spans="1:10" ht="13.5" x14ac:dyDescent="0.25">
      <c r="A19" s="424" t="s">
        <v>774</v>
      </c>
      <c r="B19" s="390"/>
      <c r="C19" s="390"/>
      <c r="D19" s="390"/>
      <c r="E19" s="390">
        <v>744990</v>
      </c>
      <c r="F19" s="390">
        <v>857604</v>
      </c>
      <c r="G19" s="390">
        <v>857105</v>
      </c>
      <c r="H19" s="390">
        <v>847350</v>
      </c>
      <c r="I19" s="390">
        <v>847350</v>
      </c>
      <c r="J19" s="390"/>
    </row>
    <row r="20" spans="1:10" x14ac:dyDescent="0.2">
      <c r="A20" s="393" t="s">
        <v>2081</v>
      </c>
      <c r="B20" s="390">
        <v>52</v>
      </c>
      <c r="C20" s="390">
        <f>23.29*40</f>
        <v>931.59999999999991</v>
      </c>
      <c r="D20" s="390">
        <f t="shared" ref="D20:D38" si="0">+C20*B20</f>
        <v>48443.199999999997</v>
      </c>
      <c r="E20" s="390"/>
      <c r="F20" s="390"/>
      <c r="G20" s="390"/>
      <c r="H20" s="390"/>
      <c r="I20" s="390"/>
      <c r="J20" s="390"/>
    </row>
    <row r="21" spans="1:10" x14ac:dyDescent="0.2">
      <c r="A21" s="393" t="s">
        <v>2081</v>
      </c>
      <c r="B21" s="390">
        <v>52</v>
      </c>
      <c r="C21" s="390">
        <f>22.09*40</f>
        <v>883.6</v>
      </c>
      <c r="D21" s="390">
        <f t="shared" si="0"/>
        <v>45947.200000000004</v>
      </c>
      <c r="E21" s="390"/>
      <c r="F21" s="390"/>
      <c r="G21" s="390"/>
      <c r="H21" s="390"/>
      <c r="I21" s="390"/>
      <c r="J21" s="390"/>
    </row>
    <row r="22" spans="1:10" x14ac:dyDescent="0.2">
      <c r="A22" s="393" t="s">
        <v>2081</v>
      </c>
      <c r="B22" s="390">
        <v>52</v>
      </c>
      <c r="C22" s="390">
        <f>22.09*40</f>
        <v>883.6</v>
      </c>
      <c r="D22" s="390">
        <f t="shared" si="0"/>
        <v>45947.200000000004</v>
      </c>
      <c r="E22" s="390"/>
      <c r="F22" s="390"/>
      <c r="G22" s="390"/>
      <c r="H22" s="390"/>
      <c r="I22" s="390"/>
      <c r="J22" s="390"/>
    </row>
    <row r="23" spans="1:10" x14ac:dyDescent="0.2">
      <c r="A23" s="393" t="s">
        <v>2081</v>
      </c>
      <c r="B23" s="390">
        <v>52</v>
      </c>
      <c r="C23" s="390">
        <f>22.95*40</f>
        <v>918</v>
      </c>
      <c r="D23" s="390">
        <f t="shared" si="0"/>
        <v>47736</v>
      </c>
      <c r="E23" s="390"/>
      <c r="F23" s="390"/>
      <c r="G23" s="390"/>
      <c r="H23" s="390"/>
      <c r="I23" s="390"/>
      <c r="J23" s="390"/>
    </row>
    <row r="24" spans="1:10" x14ac:dyDescent="0.2">
      <c r="A24" s="393" t="s">
        <v>2081</v>
      </c>
      <c r="B24" s="390">
        <v>52</v>
      </c>
      <c r="C24" s="390">
        <f>21.14*40</f>
        <v>845.6</v>
      </c>
      <c r="D24" s="390">
        <f t="shared" si="0"/>
        <v>43971.200000000004</v>
      </c>
      <c r="E24" s="390"/>
      <c r="F24" s="390"/>
      <c r="G24" s="390"/>
      <c r="H24" s="390"/>
      <c r="I24" s="390"/>
      <c r="J24" s="390"/>
    </row>
    <row r="25" spans="1:10" x14ac:dyDescent="0.2">
      <c r="A25" s="393" t="s">
        <v>2081</v>
      </c>
      <c r="B25" s="390">
        <v>52</v>
      </c>
      <c r="C25" s="390">
        <f>20.24*40</f>
        <v>809.59999999999991</v>
      </c>
      <c r="D25" s="390">
        <f t="shared" si="0"/>
        <v>42099.199999999997</v>
      </c>
      <c r="E25" s="390"/>
      <c r="F25" s="390"/>
      <c r="G25" s="390"/>
      <c r="H25" s="390"/>
      <c r="I25" s="390"/>
      <c r="J25" s="390"/>
    </row>
    <row r="26" spans="1:10" x14ac:dyDescent="0.2">
      <c r="A26" s="393" t="s">
        <v>2081</v>
      </c>
      <c r="B26" s="390">
        <v>52</v>
      </c>
      <c r="C26" s="390">
        <f>22.95*40</f>
        <v>918</v>
      </c>
      <c r="D26" s="390">
        <f t="shared" si="0"/>
        <v>47736</v>
      </c>
      <c r="E26" s="390"/>
      <c r="F26" s="390"/>
      <c r="G26" s="390"/>
      <c r="H26" s="390"/>
      <c r="I26" s="390"/>
      <c r="J26" s="390"/>
    </row>
    <row r="27" spans="1:10" x14ac:dyDescent="0.2">
      <c r="A27" s="393" t="s">
        <v>2081</v>
      </c>
      <c r="B27" s="390">
        <v>52</v>
      </c>
      <c r="C27" s="390">
        <f>23.29*40</f>
        <v>931.59999999999991</v>
      </c>
      <c r="D27" s="390">
        <f t="shared" si="0"/>
        <v>48443.199999999997</v>
      </c>
      <c r="E27" s="390"/>
      <c r="F27" s="390"/>
      <c r="G27" s="390"/>
      <c r="H27" s="390"/>
      <c r="I27" s="390"/>
      <c r="J27" s="390"/>
    </row>
    <row r="28" spans="1:10" x14ac:dyDescent="0.2">
      <c r="A28" s="393" t="s">
        <v>2081</v>
      </c>
      <c r="B28" s="390">
        <v>52</v>
      </c>
      <c r="C28" s="390">
        <f>22.09*40</f>
        <v>883.6</v>
      </c>
      <c r="D28" s="390">
        <f t="shared" si="0"/>
        <v>45947.200000000004</v>
      </c>
      <c r="E28" s="390"/>
      <c r="F28" s="390"/>
      <c r="G28" s="390"/>
      <c r="H28" s="390"/>
      <c r="I28" s="390"/>
      <c r="J28" s="390"/>
    </row>
    <row r="29" spans="1:10" s="413" customFormat="1" x14ac:dyDescent="0.2">
      <c r="A29" s="393" t="s">
        <v>2081</v>
      </c>
      <c r="B29" s="390">
        <v>52</v>
      </c>
      <c r="C29" s="390">
        <f>20.24*40</f>
        <v>809.59999999999991</v>
      </c>
      <c r="D29" s="390">
        <f>+C29*B29</f>
        <v>42099.199999999997</v>
      </c>
      <c r="E29" s="390"/>
      <c r="F29" s="390"/>
      <c r="G29" s="390"/>
      <c r="H29" s="390"/>
      <c r="I29" s="390"/>
      <c r="J29" s="390"/>
    </row>
    <row r="30" spans="1:10" x14ac:dyDescent="0.2">
      <c r="A30" s="393" t="s">
        <v>2081</v>
      </c>
      <c r="B30" s="390">
        <v>52</v>
      </c>
      <c r="C30" s="390">
        <f>21.14*40</f>
        <v>845.6</v>
      </c>
      <c r="D30" s="390">
        <f t="shared" si="0"/>
        <v>43971.200000000004</v>
      </c>
      <c r="E30" s="390"/>
      <c r="F30" s="390"/>
      <c r="G30" s="390"/>
      <c r="H30" s="390"/>
      <c r="I30" s="390"/>
      <c r="J30" s="390"/>
    </row>
    <row r="31" spans="1:10" x14ac:dyDescent="0.2">
      <c r="A31" s="393" t="s">
        <v>2081</v>
      </c>
      <c r="B31" s="390">
        <v>52</v>
      </c>
      <c r="C31" s="390">
        <v>846</v>
      </c>
      <c r="D31" s="390">
        <f>+C31*B31</f>
        <v>43992</v>
      </c>
      <c r="E31" s="390"/>
      <c r="F31" s="390"/>
      <c r="G31" s="390"/>
      <c r="H31" s="390"/>
      <c r="I31" s="390"/>
      <c r="J31" s="390"/>
    </row>
    <row r="32" spans="1:10" x14ac:dyDescent="0.2">
      <c r="A32" s="393" t="s">
        <v>2081</v>
      </c>
      <c r="B32" s="390">
        <v>52</v>
      </c>
      <c r="C32" s="390">
        <v>846</v>
      </c>
      <c r="D32" s="390">
        <f>+C32*B32</f>
        <v>43992</v>
      </c>
      <c r="E32" s="390"/>
      <c r="F32" s="390"/>
      <c r="G32" s="390"/>
      <c r="H32" s="390"/>
      <c r="I32" s="390"/>
      <c r="J32" s="390"/>
    </row>
    <row r="33" spans="1:10" x14ac:dyDescent="0.2">
      <c r="A33" s="393" t="s">
        <v>2082</v>
      </c>
      <c r="B33" s="390">
        <v>52</v>
      </c>
      <c r="C33" s="390">
        <f>24.06*40</f>
        <v>962.4</v>
      </c>
      <c r="D33" s="390">
        <f t="shared" si="0"/>
        <v>50044.799999999996</v>
      </c>
      <c r="E33" s="390"/>
      <c r="F33" s="390"/>
      <c r="G33" s="390"/>
      <c r="H33" s="390"/>
      <c r="I33" s="390"/>
      <c r="J33" s="390"/>
    </row>
    <row r="34" spans="1:10" x14ac:dyDescent="0.2">
      <c r="A34" s="393" t="s">
        <v>2082</v>
      </c>
      <c r="B34" s="390">
        <v>52</v>
      </c>
      <c r="C34" s="390">
        <v>874</v>
      </c>
      <c r="D34" s="390">
        <f t="shared" si="0"/>
        <v>45448</v>
      </c>
      <c r="E34" s="390"/>
      <c r="F34" s="390"/>
      <c r="G34" s="390"/>
      <c r="H34" s="390"/>
      <c r="I34" s="390"/>
      <c r="J34" s="390"/>
    </row>
    <row r="35" spans="1:10" x14ac:dyDescent="0.2">
      <c r="A35" s="393" t="s">
        <v>1434</v>
      </c>
      <c r="B35" s="390">
        <v>52</v>
      </c>
      <c r="C35" s="390">
        <v>968</v>
      </c>
      <c r="D35" s="390">
        <f t="shared" si="0"/>
        <v>50336</v>
      </c>
      <c r="E35" s="390"/>
      <c r="F35" s="390"/>
      <c r="G35" s="390"/>
      <c r="H35" s="390"/>
      <c r="I35" s="390"/>
      <c r="J35" s="390"/>
    </row>
    <row r="36" spans="1:10" x14ac:dyDescent="0.2">
      <c r="A36" s="393" t="s">
        <v>1813</v>
      </c>
      <c r="B36" s="390">
        <v>52</v>
      </c>
      <c r="C36" s="390">
        <f>16.61*40</f>
        <v>664.4</v>
      </c>
      <c r="D36" s="390">
        <f t="shared" si="0"/>
        <v>34548.799999999996</v>
      </c>
      <c r="E36" s="390"/>
      <c r="F36" s="390"/>
      <c r="G36" s="390"/>
      <c r="H36" s="390"/>
      <c r="I36" s="390"/>
      <c r="J36" s="390"/>
    </row>
    <row r="37" spans="1:10" x14ac:dyDescent="0.2">
      <c r="A37" s="393" t="s">
        <v>1813</v>
      </c>
      <c r="B37" s="390">
        <v>52</v>
      </c>
      <c r="C37" s="390">
        <f>17.37*40</f>
        <v>694.80000000000007</v>
      </c>
      <c r="D37" s="390">
        <f t="shared" si="0"/>
        <v>36129.600000000006</v>
      </c>
      <c r="E37" s="390"/>
      <c r="F37" s="390"/>
      <c r="G37" s="390"/>
      <c r="H37" s="390"/>
      <c r="I37" s="390"/>
      <c r="J37" s="390"/>
    </row>
    <row r="38" spans="1:10" x14ac:dyDescent="0.2">
      <c r="A38" s="393" t="s">
        <v>1813</v>
      </c>
      <c r="B38" s="390">
        <v>52</v>
      </c>
      <c r="C38" s="390">
        <f>17.37*40</f>
        <v>694.80000000000007</v>
      </c>
      <c r="D38" s="390">
        <f t="shared" si="0"/>
        <v>36129.600000000006</v>
      </c>
      <c r="E38" s="390"/>
      <c r="F38" s="390"/>
      <c r="G38" s="390"/>
      <c r="H38" s="390"/>
      <c r="I38" s="390"/>
      <c r="J38" s="390"/>
    </row>
    <row r="39" spans="1:10" x14ac:dyDescent="0.2">
      <c r="A39" s="393" t="s">
        <v>1799</v>
      </c>
      <c r="B39" s="390"/>
      <c r="C39" s="390"/>
      <c r="D39" s="390">
        <v>3325</v>
      </c>
      <c r="E39" s="390"/>
      <c r="F39" s="390"/>
      <c r="G39" s="390"/>
      <c r="H39" s="390"/>
      <c r="I39" s="390"/>
      <c r="J39" s="390"/>
    </row>
    <row r="40" spans="1:10" x14ac:dyDescent="0.2">
      <c r="A40" s="393" t="s">
        <v>1039</v>
      </c>
      <c r="B40" s="390" t="s">
        <v>418</v>
      </c>
      <c r="C40" s="390" t="s">
        <v>926</v>
      </c>
      <c r="D40" s="394">
        <v>1063</v>
      </c>
      <c r="E40" s="390"/>
      <c r="F40" s="390"/>
      <c r="G40" s="390"/>
      <c r="H40" s="390"/>
      <c r="I40" s="390"/>
      <c r="J40" s="390"/>
    </row>
    <row r="41" spans="1:10" x14ac:dyDescent="0.2">
      <c r="A41" s="393" t="s">
        <v>1320</v>
      </c>
      <c r="B41" s="390"/>
      <c r="C41" s="390"/>
      <c r="D41" s="390">
        <f>SUM(D20:D40)</f>
        <v>847349.60000000009</v>
      </c>
      <c r="E41" s="390"/>
      <c r="F41" s="390"/>
      <c r="G41" s="390"/>
      <c r="H41" s="390"/>
      <c r="I41" s="390"/>
      <c r="J41" s="390"/>
    </row>
    <row r="42" spans="1:10" x14ac:dyDescent="0.2">
      <c r="A42" s="393"/>
      <c r="B42" s="390"/>
      <c r="C42" s="390"/>
      <c r="D42" s="390"/>
      <c r="E42" s="390"/>
      <c r="F42" s="390"/>
      <c r="G42" s="390"/>
      <c r="H42" s="390"/>
      <c r="I42" s="390"/>
      <c r="J42" s="390"/>
    </row>
    <row r="43" spans="1:10" ht="13.5" x14ac:dyDescent="0.25">
      <c r="A43" s="424" t="s">
        <v>579</v>
      </c>
      <c r="B43" s="390"/>
      <c r="C43" s="390"/>
      <c r="D43" s="390" t="s">
        <v>418</v>
      </c>
      <c r="E43" s="390">
        <v>22847</v>
      </c>
      <c r="F43" s="390">
        <v>31231</v>
      </c>
      <c r="G43" s="390">
        <v>31231</v>
      </c>
      <c r="H43" s="390">
        <v>31231</v>
      </c>
      <c r="I43" s="390">
        <v>31231</v>
      </c>
      <c r="J43" s="390"/>
    </row>
    <row r="44" spans="1:10" x14ac:dyDescent="0.2">
      <c r="A44" s="393" t="s">
        <v>546</v>
      </c>
      <c r="B44" s="390"/>
      <c r="C44" s="390"/>
      <c r="D44" s="390"/>
      <c r="E44" s="390"/>
      <c r="F44" s="390"/>
      <c r="G44" s="390"/>
      <c r="H44" s="390"/>
      <c r="I44" s="390"/>
      <c r="J44" s="390"/>
    </row>
    <row r="45" spans="1:10" x14ac:dyDescent="0.2">
      <c r="A45" s="393" t="s">
        <v>549</v>
      </c>
      <c r="B45" s="390" t="s">
        <v>418</v>
      </c>
      <c r="C45" s="390"/>
      <c r="D45" s="390">
        <v>7000</v>
      </c>
      <c r="E45" s="390"/>
      <c r="F45" s="390"/>
      <c r="G45" s="390"/>
      <c r="H45" s="390"/>
      <c r="I45" s="390"/>
      <c r="J45" s="390"/>
    </row>
    <row r="46" spans="1:10" x14ac:dyDescent="0.2">
      <c r="A46" s="393" t="s">
        <v>547</v>
      </c>
      <c r="B46" s="390"/>
      <c r="C46" s="390"/>
      <c r="D46" s="390"/>
      <c r="E46" s="390"/>
      <c r="F46" s="390"/>
      <c r="G46" s="390"/>
      <c r="H46" s="390"/>
      <c r="I46" s="390"/>
      <c r="J46" s="390"/>
    </row>
    <row r="47" spans="1:10" x14ac:dyDescent="0.2">
      <c r="A47" s="393" t="s">
        <v>548</v>
      </c>
      <c r="B47" s="390"/>
      <c r="C47" s="390"/>
      <c r="D47" s="394">
        <f>23000+1231</f>
        <v>24231</v>
      </c>
      <c r="E47" s="390"/>
      <c r="F47" s="390"/>
      <c r="G47" s="390"/>
      <c r="H47" s="390"/>
      <c r="I47" s="390"/>
      <c r="J47" s="390"/>
    </row>
    <row r="48" spans="1:10" x14ac:dyDescent="0.2">
      <c r="A48" s="393" t="s">
        <v>1320</v>
      </c>
      <c r="B48" s="390"/>
      <c r="C48" s="390"/>
      <c r="D48" s="390">
        <f>SUM(D44:D47)</f>
        <v>31231</v>
      </c>
      <c r="E48" s="390"/>
      <c r="F48" s="390"/>
      <c r="G48" s="390"/>
      <c r="H48" s="390"/>
      <c r="I48" s="390"/>
      <c r="J48" s="390"/>
    </row>
    <row r="49" spans="1:10" x14ac:dyDescent="0.2">
      <c r="A49" s="393"/>
      <c r="B49" s="390"/>
      <c r="C49" s="390"/>
      <c r="D49" s="390"/>
      <c r="E49" s="390"/>
      <c r="F49" s="390"/>
      <c r="G49" s="390"/>
      <c r="H49" s="390"/>
      <c r="I49" s="390"/>
      <c r="J49" s="390"/>
    </row>
    <row r="50" spans="1:10" ht="13.5" x14ac:dyDescent="0.25">
      <c r="A50" s="424" t="s">
        <v>842</v>
      </c>
      <c r="B50" s="390"/>
      <c r="C50" s="390"/>
      <c r="D50" s="390"/>
      <c r="E50" s="390">
        <v>21617</v>
      </c>
      <c r="F50" s="390">
        <v>36247</v>
      </c>
      <c r="G50" s="390">
        <v>36740</v>
      </c>
      <c r="H50" s="390">
        <v>36740</v>
      </c>
      <c r="I50" s="390">
        <v>37121</v>
      </c>
      <c r="J50" s="390"/>
    </row>
    <row r="51" spans="1:10" x14ac:dyDescent="0.2">
      <c r="A51" s="393" t="s">
        <v>1615</v>
      </c>
      <c r="B51" s="390">
        <v>1920</v>
      </c>
      <c r="C51" s="509">
        <v>13.5</v>
      </c>
      <c r="D51" s="390">
        <f>ROUND(B51*C51,0)</f>
        <v>25920</v>
      </c>
      <c r="E51" s="390"/>
      <c r="F51" s="390"/>
      <c r="G51" s="390"/>
      <c r="H51" s="390"/>
      <c r="I51" s="390"/>
      <c r="J51" s="390"/>
    </row>
    <row r="52" spans="1:10" x14ac:dyDescent="0.2">
      <c r="A52" s="393" t="s">
        <v>2473</v>
      </c>
      <c r="B52" s="390">
        <f>12*52</f>
        <v>624</v>
      </c>
      <c r="C52" s="509">
        <v>17.95</v>
      </c>
      <c r="D52" s="394">
        <f>ROUND((B52*C52),0)</f>
        <v>11201</v>
      </c>
      <c r="E52" s="390"/>
      <c r="F52" s="390"/>
      <c r="G52" s="390"/>
      <c r="H52" s="390"/>
      <c r="I52" s="390"/>
      <c r="J52" s="390"/>
    </row>
    <row r="53" spans="1:10" s="384" customFormat="1" x14ac:dyDescent="0.2">
      <c r="A53" s="393"/>
      <c r="B53" s="390"/>
      <c r="C53" s="390"/>
      <c r="D53" s="390">
        <f>SUM(D51:D52)</f>
        <v>37121</v>
      </c>
      <c r="E53" s="390"/>
      <c r="F53" s="390"/>
      <c r="G53" s="390"/>
      <c r="H53" s="390"/>
      <c r="I53" s="390"/>
      <c r="J53" s="390"/>
    </row>
    <row r="54" spans="1:10" x14ac:dyDescent="0.2">
      <c r="A54" s="393" t="s">
        <v>418</v>
      </c>
      <c r="B54" s="390"/>
      <c r="C54" s="390"/>
      <c r="D54" s="390" t="s">
        <v>418</v>
      </c>
      <c r="E54" s="390"/>
      <c r="F54" s="390"/>
      <c r="G54" s="390"/>
      <c r="H54" s="390"/>
      <c r="I54" s="390"/>
      <c r="J54" s="390"/>
    </row>
    <row r="55" spans="1:10" ht="13.5" x14ac:dyDescent="0.25">
      <c r="A55" s="424" t="s">
        <v>850</v>
      </c>
      <c r="B55" s="390"/>
      <c r="C55" s="390"/>
      <c r="D55" s="390" t="s">
        <v>418</v>
      </c>
      <c r="E55" s="390">
        <v>76190</v>
      </c>
      <c r="F55" s="390">
        <v>81500</v>
      </c>
      <c r="G55" s="390">
        <v>81500</v>
      </c>
      <c r="H55" s="390">
        <v>81500</v>
      </c>
      <c r="I55" s="390">
        <v>81500</v>
      </c>
      <c r="J55" s="390"/>
    </row>
    <row r="56" spans="1:10" x14ac:dyDescent="0.2">
      <c r="A56" s="393" t="s">
        <v>547</v>
      </c>
      <c r="B56" s="390" t="s">
        <v>418</v>
      </c>
      <c r="C56" s="390"/>
      <c r="D56" s="390" t="s">
        <v>418</v>
      </c>
      <c r="E56" s="390"/>
      <c r="F56" s="390"/>
      <c r="G56" s="390"/>
      <c r="H56" s="390"/>
      <c r="I56" s="390"/>
      <c r="J56" s="390"/>
    </row>
    <row r="57" spans="1:10" x14ac:dyDescent="0.2">
      <c r="A57" s="393" t="s">
        <v>548</v>
      </c>
      <c r="B57" s="390"/>
      <c r="C57" s="390"/>
      <c r="D57" s="390">
        <f>76500</f>
        <v>76500</v>
      </c>
      <c r="E57" s="390"/>
      <c r="F57" s="390"/>
      <c r="G57" s="390"/>
      <c r="H57" s="390"/>
      <c r="I57" s="390"/>
      <c r="J57" s="390"/>
    </row>
    <row r="58" spans="1:10" x14ac:dyDescent="0.2">
      <c r="A58" s="393" t="s">
        <v>546</v>
      </c>
      <c r="B58" s="390"/>
      <c r="C58" s="390"/>
      <c r="D58" s="390"/>
      <c r="E58" s="390"/>
      <c r="F58" s="390"/>
      <c r="G58" s="390"/>
      <c r="H58" s="390"/>
      <c r="I58" s="390"/>
      <c r="J58" s="390"/>
    </row>
    <row r="59" spans="1:10" x14ac:dyDescent="0.2">
      <c r="A59" s="393" t="s">
        <v>549</v>
      </c>
      <c r="B59" s="390"/>
      <c r="C59" s="390"/>
      <c r="D59" s="394">
        <v>5000</v>
      </c>
      <c r="E59" s="390"/>
      <c r="F59" s="390"/>
      <c r="G59" s="390"/>
      <c r="H59" s="390"/>
      <c r="I59" s="390"/>
      <c r="J59" s="390"/>
    </row>
    <row r="60" spans="1:10" ht="16.899999999999999" customHeight="1" x14ac:dyDescent="0.2">
      <c r="A60" s="393" t="s">
        <v>1320</v>
      </c>
      <c r="B60" s="390"/>
      <c r="C60" s="390"/>
      <c r="D60" s="390">
        <f>SUM(D56:D59)</f>
        <v>81500</v>
      </c>
      <c r="E60" s="390"/>
      <c r="F60" s="390"/>
      <c r="G60" s="390"/>
      <c r="H60" s="390"/>
      <c r="I60" s="390"/>
      <c r="J60" s="390"/>
    </row>
    <row r="61" spans="1:10" x14ac:dyDescent="0.2">
      <c r="A61" s="393"/>
      <c r="B61" s="390" t="s">
        <v>418</v>
      </c>
      <c r="C61" s="390" t="s">
        <v>418</v>
      </c>
      <c r="D61" s="390" t="s">
        <v>418</v>
      </c>
      <c r="E61" s="390"/>
      <c r="F61" s="390"/>
      <c r="G61" s="390"/>
      <c r="H61" s="390"/>
      <c r="I61" s="390"/>
      <c r="J61" s="390"/>
    </row>
    <row r="62" spans="1:10" ht="13.5" x14ac:dyDescent="0.25">
      <c r="A62" s="424" t="s">
        <v>1079</v>
      </c>
      <c r="B62" s="390"/>
      <c r="C62" s="390"/>
      <c r="D62" s="390"/>
      <c r="E62" s="390">
        <v>92237</v>
      </c>
      <c r="F62" s="390">
        <v>102195</v>
      </c>
      <c r="G62" s="390">
        <v>102759</v>
      </c>
      <c r="H62" s="390">
        <v>102012</v>
      </c>
      <c r="I62" s="390">
        <v>102275</v>
      </c>
      <c r="J62" s="390"/>
    </row>
    <row r="63" spans="1:10" x14ac:dyDescent="0.2">
      <c r="A63" s="393" t="s">
        <v>965</v>
      </c>
      <c r="B63" s="390">
        <f>+D7</f>
        <v>46010</v>
      </c>
      <c r="C63" s="428">
        <v>7.6499999999999999E-2</v>
      </c>
      <c r="D63" s="390">
        <f t="shared" ref="D63:D68" si="1">ROUND(B63*C63,0)</f>
        <v>3520</v>
      </c>
      <c r="E63" s="390"/>
      <c r="F63" s="390"/>
      <c r="G63" s="390"/>
      <c r="H63" s="390"/>
      <c r="I63" s="390"/>
      <c r="J63" s="390"/>
    </row>
    <row r="64" spans="1:10" x14ac:dyDescent="0.2">
      <c r="A64" s="393" t="s">
        <v>1536</v>
      </c>
      <c r="B64" s="390">
        <f>+D17</f>
        <v>293712.48</v>
      </c>
      <c r="C64" s="428">
        <v>7.6499999999999999E-2</v>
      </c>
      <c r="D64" s="390">
        <f t="shared" si="1"/>
        <v>22469</v>
      </c>
      <c r="E64" s="390"/>
      <c r="F64" s="390"/>
      <c r="G64" s="390"/>
      <c r="H64" s="390"/>
      <c r="I64" s="390"/>
      <c r="J64" s="390"/>
    </row>
    <row r="65" spans="1:10" x14ac:dyDescent="0.2">
      <c r="A65" s="393" t="s">
        <v>883</v>
      </c>
      <c r="B65" s="390">
        <f>+D41</f>
        <v>847349.60000000009</v>
      </c>
      <c r="C65" s="428">
        <v>7.6499999999999999E-2</v>
      </c>
      <c r="D65" s="390">
        <f t="shared" si="1"/>
        <v>64822</v>
      </c>
      <c r="E65" s="390"/>
      <c r="F65" s="390"/>
      <c r="G65" s="390"/>
      <c r="H65" s="390"/>
      <c r="I65" s="390"/>
      <c r="J65" s="390"/>
    </row>
    <row r="66" spans="1:10" x14ac:dyDescent="0.2">
      <c r="A66" s="393" t="s">
        <v>966</v>
      </c>
      <c r="B66" s="390">
        <f>+D48</f>
        <v>31231</v>
      </c>
      <c r="C66" s="428">
        <v>7.6499999999999999E-2</v>
      </c>
      <c r="D66" s="390">
        <f t="shared" si="1"/>
        <v>2389</v>
      </c>
      <c r="E66" s="390"/>
      <c r="F66" s="390"/>
      <c r="G66" s="390"/>
      <c r="H66" s="390"/>
      <c r="I66" s="390"/>
      <c r="J66" s="390"/>
    </row>
    <row r="67" spans="1:10" x14ac:dyDescent="0.2">
      <c r="A67" s="393" t="s">
        <v>196</v>
      </c>
      <c r="B67" s="390">
        <f>+D53</f>
        <v>37121</v>
      </c>
      <c r="C67" s="428">
        <v>7.6499999999999999E-2</v>
      </c>
      <c r="D67" s="390">
        <f t="shared" si="1"/>
        <v>2840</v>
      </c>
      <c r="E67" s="390"/>
      <c r="F67" s="390"/>
      <c r="G67" s="390"/>
      <c r="H67" s="390"/>
      <c r="I67" s="390"/>
      <c r="J67" s="390"/>
    </row>
    <row r="68" spans="1:10" x14ac:dyDescent="0.2">
      <c r="A68" s="393" t="s">
        <v>197</v>
      </c>
      <c r="B68" s="390">
        <f>+D60</f>
        <v>81500</v>
      </c>
      <c r="C68" s="428">
        <v>7.6499999999999999E-2</v>
      </c>
      <c r="D68" s="394">
        <f t="shared" si="1"/>
        <v>6235</v>
      </c>
      <c r="E68" s="390"/>
      <c r="F68" s="390"/>
      <c r="G68" s="390"/>
      <c r="H68" s="390"/>
      <c r="I68" s="390"/>
      <c r="J68" s="390"/>
    </row>
    <row r="69" spans="1:10" x14ac:dyDescent="0.2">
      <c r="A69" s="393" t="s">
        <v>1320</v>
      </c>
      <c r="B69" s="390"/>
      <c r="C69" s="428"/>
      <c r="D69" s="390">
        <f>SUM(D63:D68)</f>
        <v>102275</v>
      </c>
      <c r="E69" s="390"/>
      <c r="F69" s="390"/>
      <c r="G69" s="390"/>
      <c r="H69" s="390"/>
      <c r="I69" s="390"/>
      <c r="J69" s="390"/>
    </row>
    <row r="70" spans="1:10" x14ac:dyDescent="0.2">
      <c r="A70" s="393"/>
      <c r="B70" s="390"/>
      <c r="C70" s="428"/>
      <c r="D70" s="390"/>
      <c r="E70" s="390"/>
      <c r="F70" s="390"/>
      <c r="G70" s="390"/>
      <c r="H70" s="390"/>
      <c r="I70" s="390"/>
      <c r="J70" s="390"/>
    </row>
    <row r="71" spans="1:10" ht="13.5" x14ac:dyDescent="0.25">
      <c r="A71" s="424" t="s">
        <v>1487</v>
      </c>
      <c r="B71" s="390"/>
      <c r="C71" s="428"/>
      <c r="D71" s="390"/>
      <c r="E71" s="390">
        <v>163833</v>
      </c>
      <c r="F71" s="390">
        <v>182728</v>
      </c>
      <c r="G71" s="390">
        <v>176770</v>
      </c>
      <c r="H71" s="390">
        <v>175450</v>
      </c>
      <c r="I71" s="390">
        <v>175863</v>
      </c>
      <c r="J71" s="390"/>
    </row>
    <row r="72" spans="1:10" x14ac:dyDescent="0.2">
      <c r="A72" s="393" t="s">
        <v>965</v>
      </c>
      <c r="B72" s="390">
        <f>+B63</f>
        <v>46010</v>
      </c>
      <c r="C72" s="428">
        <v>0.1353</v>
      </c>
      <c r="D72" s="390">
        <f>ROUND(B72*C72,0)</f>
        <v>6225</v>
      </c>
      <c r="E72" s="390"/>
      <c r="F72" s="390"/>
      <c r="G72" s="390"/>
      <c r="H72" s="390"/>
      <c r="I72" s="390"/>
      <c r="J72" s="390"/>
    </row>
    <row r="73" spans="1:10" x14ac:dyDescent="0.2">
      <c r="A73" s="425">
        <v>8103</v>
      </c>
      <c r="B73" s="390">
        <f>+D17</f>
        <v>293712.48</v>
      </c>
      <c r="C73" s="428">
        <v>0.1353</v>
      </c>
      <c r="D73" s="390">
        <f>ROUND(B73*C73,0)</f>
        <v>39739</v>
      </c>
      <c r="E73" s="390"/>
      <c r="F73" s="390"/>
      <c r="G73" s="390"/>
      <c r="H73" s="390"/>
      <c r="I73" s="390"/>
      <c r="J73" s="390"/>
    </row>
    <row r="74" spans="1:10" x14ac:dyDescent="0.2">
      <c r="A74" s="393" t="s">
        <v>883</v>
      </c>
      <c r="B74" s="390">
        <f>+D41</f>
        <v>847349.60000000009</v>
      </c>
      <c r="C74" s="428">
        <v>0.1353</v>
      </c>
      <c r="D74" s="390">
        <f>ROUND(B74*C74,0)</f>
        <v>114646</v>
      </c>
      <c r="E74" s="390"/>
      <c r="F74" s="390"/>
      <c r="G74" s="390"/>
      <c r="H74" s="390"/>
      <c r="I74" s="390"/>
      <c r="J74" s="390"/>
    </row>
    <row r="75" spans="1:10" x14ac:dyDescent="0.2">
      <c r="A75" s="393" t="s">
        <v>966</v>
      </c>
      <c r="B75" s="390">
        <f>+B66</f>
        <v>31231</v>
      </c>
      <c r="C75" s="428">
        <v>0.1353</v>
      </c>
      <c r="D75" s="390">
        <f>ROUND(B75*C75,0)</f>
        <v>4226</v>
      </c>
      <c r="E75" s="390"/>
      <c r="F75" s="390"/>
      <c r="G75" s="390"/>
      <c r="H75" s="390"/>
      <c r="I75" s="390"/>
      <c r="J75" s="390"/>
    </row>
    <row r="76" spans="1:10" x14ac:dyDescent="0.2">
      <c r="A76" s="393" t="s">
        <v>197</v>
      </c>
      <c r="B76" s="390">
        <f>+D60</f>
        <v>81500</v>
      </c>
      <c r="C76" s="428">
        <v>0.1353</v>
      </c>
      <c r="D76" s="394">
        <f>ROUND(B76*C76,0)</f>
        <v>11027</v>
      </c>
      <c r="E76" s="390"/>
      <c r="F76" s="390"/>
      <c r="G76" s="390"/>
      <c r="H76" s="390"/>
      <c r="I76" s="390"/>
      <c r="J76" s="390"/>
    </row>
    <row r="77" spans="1:10" x14ac:dyDescent="0.2">
      <c r="A77" s="393" t="s">
        <v>1320</v>
      </c>
      <c r="B77" s="390"/>
      <c r="C77" s="390"/>
      <c r="D77" s="390">
        <f>SUM(D72:D76)</f>
        <v>175863</v>
      </c>
      <c r="E77" s="390"/>
      <c r="F77" s="390"/>
      <c r="G77" s="390"/>
      <c r="H77" s="390"/>
      <c r="I77" s="390"/>
      <c r="J77" s="390"/>
    </row>
    <row r="78" spans="1:10" x14ac:dyDescent="0.2">
      <c r="A78" s="393"/>
      <c r="B78" s="390"/>
      <c r="C78" s="390"/>
      <c r="D78" s="390"/>
      <c r="E78" s="390"/>
      <c r="F78" s="390"/>
      <c r="G78" s="390"/>
      <c r="H78" s="390"/>
      <c r="I78" s="390"/>
      <c r="J78" s="390"/>
    </row>
    <row r="79" spans="1:10" ht="13.5" x14ac:dyDescent="0.25">
      <c r="A79" s="424" t="s">
        <v>1488</v>
      </c>
      <c r="B79" s="390"/>
      <c r="C79" s="390"/>
      <c r="D79" s="390"/>
      <c r="E79" s="390">
        <v>389041</v>
      </c>
      <c r="F79" s="390">
        <v>446500</v>
      </c>
      <c r="G79" s="390">
        <v>475875</v>
      </c>
      <c r="H79" s="390">
        <v>475875</v>
      </c>
      <c r="I79" s="390">
        <v>475875</v>
      </c>
      <c r="J79" s="390"/>
    </row>
    <row r="80" spans="1:10" hidden="1" x14ac:dyDescent="0.2">
      <c r="A80" s="393" t="s">
        <v>322</v>
      </c>
      <c r="B80" s="390">
        <v>19</v>
      </c>
      <c r="C80" s="3">
        <v>20250</v>
      </c>
      <c r="D80" s="390">
        <f>ROUND(B80*C80,0)</f>
        <v>384750</v>
      </c>
      <c r="E80" s="390"/>
      <c r="F80" s="390"/>
      <c r="G80" s="390"/>
      <c r="H80" s="390"/>
      <c r="I80" s="390"/>
      <c r="J80" s="390"/>
    </row>
    <row r="81" spans="1:10" hidden="1" x14ac:dyDescent="0.2">
      <c r="A81" s="393" t="s">
        <v>323</v>
      </c>
      <c r="B81" s="390">
        <v>1</v>
      </c>
      <c r="C81" s="3">
        <v>20250</v>
      </c>
      <c r="D81" s="390">
        <f>ROUND(B81*C81,0)</f>
        <v>20250</v>
      </c>
      <c r="E81" s="390"/>
      <c r="F81" s="390"/>
      <c r="G81" s="390"/>
      <c r="H81" s="390"/>
      <c r="I81" s="390"/>
      <c r="J81" s="390"/>
    </row>
    <row r="82" spans="1:10" hidden="1" x14ac:dyDescent="0.2">
      <c r="A82" s="393" t="s">
        <v>372</v>
      </c>
      <c r="B82" s="390">
        <v>3.5</v>
      </c>
      <c r="C82" s="3">
        <v>20250</v>
      </c>
      <c r="D82" s="394">
        <f>ROUND(B82*C82,0)</f>
        <v>70875</v>
      </c>
      <c r="E82" s="390"/>
      <c r="F82" s="390"/>
      <c r="G82" s="390"/>
      <c r="H82" s="390"/>
      <c r="I82" s="390"/>
      <c r="J82" s="390"/>
    </row>
    <row r="83" spans="1:10" hidden="1" x14ac:dyDescent="0.2">
      <c r="A83" s="393" t="s">
        <v>877</v>
      </c>
      <c r="B83" s="390"/>
      <c r="C83" s="390"/>
      <c r="D83" s="390">
        <f>SUM(D80:D82)</f>
        <v>475875</v>
      </c>
      <c r="E83" s="390"/>
      <c r="F83" s="390"/>
      <c r="G83" s="390"/>
      <c r="H83" s="390"/>
      <c r="I83" s="390"/>
      <c r="J83" s="390"/>
    </row>
    <row r="84" spans="1:10" x14ac:dyDescent="0.2">
      <c r="A84" s="393"/>
      <c r="B84" s="390"/>
      <c r="C84" s="390"/>
      <c r="D84" s="390"/>
      <c r="E84" s="390"/>
      <c r="F84" s="390"/>
      <c r="G84" s="390"/>
      <c r="H84" s="390"/>
      <c r="I84" s="390"/>
      <c r="J84" s="390"/>
    </row>
    <row r="85" spans="1:10" ht="13.5" x14ac:dyDescent="0.25">
      <c r="A85" s="424" t="s">
        <v>1489</v>
      </c>
      <c r="B85" s="390"/>
      <c r="C85" s="390"/>
      <c r="D85" s="390"/>
      <c r="E85" s="390">
        <v>24691</v>
      </c>
      <c r="F85" s="390">
        <v>29700</v>
      </c>
      <c r="G85" s="390">
        <v>29700</v>
      </c>
      <c r="H85" s="390">
        <v>29700</v>
      </c>
      <c r="I85" s="390">
        <v>29700</v>
      </c>
      <c r="J85" s="390"/>
    </row>
    <row r="86" spans="1:10" hidden="1" x14ac:dyDescent="0.2">
      <c r="A86" s="393" t="s">
        <v>440</v>
      </c>
      <c r="B86" s="390">
        <v>24</v>
      </c>
      <c r="C86" s="390">
        <v>1375</v>
      </c>
      <c r="D86" s="390">
        <f>ROUND(B86*C86,0)</f>
        <v>33000</v>
      </c>
      <c r="E86" s="390"/>
      <c r="F86" s="390"/>
      <c r="G86" s="390"/>
      <c r="H86" s="390"/>
      <c r="I86" s="390"/>
      <c r="J86" s="390"/>
    </row>
    <row r="87" spans="1:10" ht="15" hidden="1" x14ac:dyDescent="0.35">
      <c r="A87" s="393" t="s">
        <v>642</v>
      </c>
      <c r="B87" s="390"/>
      <c r="C87" s="390"/>
      <c r="D87" s="426">
        <f>+D86*-0.1</f>
        <v>-3300</v>
      </c>
      <c r="E87" s="390"/>
      <c r="F87" s="390"/>
      <c r="G87" s="390"/>
      <c r="H87" s="390"/>
      <c r="I87" s="390"/>
      <c r="J87" s="390"/>
    </row>
    <row r="88" spans="1:10" hidden="1" x14ac:dyDescent="0.2">
      <c r="A88" s="393"/>
      <c r="B88" s="390"/>
      <c r="C88" s="390"/>
      <c r="D88" s="390">
        <f>SUM(D86:D87)</f>
        <v>29700</v>
      </c>
      <c r="E88" s="390"/>
      <c r="F88" s="390"/>
      <c r="G88" s="390"/>
      <c r="H88" s="390"/>
      <c r="I88" s="390"/>
      <c r="J88" s="390"/>
    </row>
    <row r="89" spans="1:10" x14ac:dyDescent="0.2">
      <c r="A89" s="393"/>
      <c r="B89" s="390"/>
      <c r="C89" s="390"/>
      <c r="D89" s="390"/>
      <c r="E89" s="390"/>
      <c r="F89" s="390"/>
      <c r="G89" s="390"/>
      <c r="H89" s="390"/>
      <c r="I89" s="390"/>
      <c r="J89" s="390"/>
    </row>
    <row r="90" spans="1:10" ht="13.5" x14ac:dyDescent="0.25">
      <c r="A90" s="424" t="s">
        <v>583</v>
      </c>
      <c r="B90" s="390"/>
      <c r="C90" s="390"/>
      <c r="D90" s="390"/>
      <c r="E90" s="390">
        <v>1093</v>
      </c>
      <c r="F90" s="390">
        <v>1696</v>
      </c>
      <c r="G90" s="390">
        <v>1696</v>
      </c>
      <c r="H90" s="390">
        <v>1696</v>
      </c>
      <c r="I90" s="390">
        <v>1696</v>
      </c>
      <c r="J90" s="390"/>
    </row>
    <row r="91" spans="1:10" hidden="1" x14ac:dyDescent="0.2">
      <c r="A91" s="393" t="s">
        <v>239</v>
      </c>
      <c r="B91" s="390">
        <v>1</v>
      </c>
      <c r="C91" s="390">
        <v>229</v>
      </c>
      <c r="D91" s="390">
        <f>ROUND(B91*C91,0)</f>
        <v>229</v>
      </c>
      <c r="E91" s="390"/>
      <c r="F91" s="390"/>
      <c r="G91" s="390"/>
      <c r="H91" s="390"/>
      <c r="I91" s="390"/>
      <c r="J91" s="390"/>
    </row>
    <row r="92" spans="1:10" hidden="1" x14ac:dyDescent="0.2">
      <c r="A92" s="393" t="s">
        <v>371</v>
      </c>
      <c r="B92" s="390">
        <v>3.5</v>
      </c>
      <c r="C92" s="390">
        <v>229</v>
      </c>
      <c r="D92" s="390">
        <f>ROUND(B92*C92,0)</f>
        <v>802</v>
      </c>
      <c r="E92" s="390"/>
      <c r="F92" s="390"/>
      <c r="G92" s="390"/>
      <c r="H92" s="390"/>
      <c r="I92" s="390"/>
      <c r="J92" s="390"/>
    </row>
    <row r="93" spans="1:10" hidden="1" x14ac:dyDescent="0.2">
      <c r="A93" s="393" t="s">
        <v>343</v>
      </c>
      <c r="B93" s="390">
        <v>19</v>
      </c>
      <c r="C93" s="390">
        <v>35</v>
      </c>
      <c r="D93" s="394">
        <f>ROUND(B93*C93,0)</f>
        <v>665</v>
      </c>
      <c r="E93" s="390"/>
      <c r="F93" s="390"/>
      <c r="G93" s="390"/>
      <c r="H93" s="390"/>
      <c r="I93" s="390"/>
      <c r="J93" s="390"/>
    </row>
    <row r="94" spans="1:10" hidden="1" x14ac:dyDescent="0.2">
      <c r="A94" s="393" t="s">
        <v>1320</v>
      </c>
      <c r="B94" s="390"/>
      <c r="C94" s="390"/>
      <c r="D94" s="390">
        <f>SUM(D91:D93)</f>
        <v>1696</v>
      </c>
      <c r="E94" s="390"/>
      <c r="F94" s="390"/>
      <c r="G94" s="390"/>
      <c r="H94" s="390"/>
      <c r="I94" s="390"/>
      <c r="J94" s="390"/>
    </row>
    <row r="95" spans="1:10" x14ac:dyDescent="0.2">
      <c r="A95" s="393"/>
      <c r="B95" s="390"/>
      <c r="C95" s="390"/>
      <c r="D95" s="390"/>
      <c r="E95" s="390"/>
      <c r="F95" s="390"/>
      <c r="G95" s="390"/>
      <c r="H95" s="390"/>
      <c r="I95" s="390"/>
      <c r="J95" s="390"/>
    </row>
    <row r="96" spans="1:10" ht="13.5" x14ac:dyDescent="0.25">
      <c r="A96" s="424" t="s">
        <v>1075</v>
      </c>
      <c r="B96" s="390"/>
      <c r="C96" s="390"/>
      <c r="D96" s="390"/>
      <c r="E96" s="390">
        <v>9842</v>
      </c>
      <c r="F96" s="390">
        <v>12600</v>
      </c>
      <c r="G96" s="390">
        <v>13560</v>
      </c>
      <c r="H96" s="390">
        <v>13560</v>
      </c>
      <c r="I96" s="390">
        <v>13560</v>
      </c>
      <c r="J96" s="390"/>
    </row>
    <row r="97" spans="1:10" hidden="1" x14ac:dyDescent="0.2">
      <c r="A97" s="393" t="s">
        <v>239</v>
      </c>
      <c r="B97" s="390">
        <v>1</v>
      </c>
      <c r="C97" s="390">
        <v>565</v>
      </c>
      <c r="D97" s="390">
        <f>ROUND(B97*C97,0)</f>
        <v>565</v>
      </c>
      <c r="E97" s="390"/>
      <c r="F97" s="390"/>
      <c r="G97" s="390"/>
      <c r="H97" s="390"/>
      <c r="I97" s="390"/>
      <c r="J97" s="390"/>
    </row>
    <row r="98" spans="1:10" hidden="1" x14ac:dyDescent="0.2">
      <c r="A98" s="393" t="s">
        <v>1479</v>
      </c>
      <c r="B98" s="390">
        <v>23</v>
      </c>
      <c r="C98" s="390">
        <v>565</v>
      </c>
      <c r="D98" s="394">
        <f>ROUND(B98*C98,0)</f>
        <v>12995</v>
      </c>
      <c r="E98" s="390"/>
      <c r="F98" s="390"/>
      <c r="G98" s="390"/>
      <c r="H98" s="390"/>
      <c r="I98" s="390"/>
      <c r="J98" s="390"/>
    </row>
    <row r="99" spans="1:10" hidden="1" x14ac:dyDescent="0.2">
      <c r="A99" s="393" t="s">
        <v>1320</v>
      </c>
      <c r="B99" s="390"/>
      <c r="C99" s="390"/>
      <c r="D99" s="390">
        <f>SUM(D97:D98)</f>
        <v>13560</v>
      </c>
      <c r="E99" s="390"/>
      <c r="F99" s="390"/>
      <c r="G99" s="390"/>
      <c r="H99" s="390"/>
      <c r="I99" s="390"/>
      <c r="J99" s="390"/>
    </row>
    <row r="100" spans="1:10" x14ac:dyDescent="0.2">
      <c r="A100" s="393"/>
      <c r="B100" s="390"/>
      <c r="C100" s="390"/>
      <c r="D100" s="390"/>
      <c r="E100" s="390"/>
      <c r="F100" s="390"/>
      <c r="G100" s="390"/>
      <c r="H100" s="390"/>
      <c r="I100" s="390"/>
      <c r="J100" s="390"/>
    </row>
    <row r="101" spans="1:10" ht="13.5" x14ac:dyDescent="0.25">
      <c r="A101" s="424" t="s">
        <v>1076</v>
      </c>
      <c r="B101" s="390"/>
      <c r="C101" s="390"/>
      <c r="D101" s="390"/>
      <c r="E101" s="390">
        <v>34993</v>
      </c>
      <c r="F101" s="390">
        <v>43620</v>
      </c>
      <c r="G101" s="390">
        <v>44974</v>
      </c>
      <c r="H101" s="390">
        <v>44634</v>
      </c>
      <c r="I101" s="390">
        <v>44741</v>
      </c>
      <c r="J101" s="390"/>
    </row>
    <row r="102" spans="1:10" x14ac:dyDescent="0.2">
      <c r="A102" s="393" t="s">
        <v>965</v>
      </c>
      <c r="B102" s="390">
        <f>+B72</f>
        <v>46010</v>
      </c>
      <c r="C102" s="508">
        <v>1.89E-3</v>
      </c>
      <c r="D102" s="390">
        <f>ROUND(B102*C102,0)-3</f>
        <v>84</v>
      </c>
      <c r="E102" s="390"/>
      <c r="F102" s="390"/>
      <c r="G102" s="390"/>
      <c r="H102" s="390"/>
      <c r="I102" s="390"/>
      <c r="J102" s="390"/>
    </row>
    <row r="103" spans="1:10" x14ac:dyDescent="0.2">
      <c r="A103" s="393" t="s">
        <v>1536</v>
      </c>
      <c r="B103" s="390">
        <f>+D17</f>
        <v>293712.48</v>
      </c>
      <c r="C103" s="508">
        <v>3.49E-2</v>
      </c>
      <c r="D103" s="390">
        <f>ROUND(B103*C103,0)-25</f>
        <v>10226</v>
      </c>
      <c r="E103" s="390"/>
      <c r="F103" s="390"/>
      <c r="G103" s="390"/>
      <c r="H103" s="390"/>
      <c r="I103" s="390"/>
      <c r="J103" s="390"/>
    </row>
    <row r="104" spans="1:10" x14ac:dyDescent="0.2">
      <c r="A104" s="393" t="s">
        <v>883</v>
      </c>
      <c r="B104" s="390">
        <f>+D41</f>
        <v>847349.60000000009</v>
      </c>
      <c r="C104" s="508">
        <v>3.49E-2</v>
      </c>
      <c r="D104" s="390">
        <f>ROUND(B104*C104,0)</f>
        <v>29573</v>
      </c>
      <c r="E104" s="390"/>
      <c r="F104" s="390"/>
      <c r="G104" s="390"/>
      <c r="H104" s="390"/>
      <c r="I104" s="390"/>
      <c r="J104" s="390"/>
    </row>
    <row r="105" spans="1:10" x14ac:dyDescent="0.2">
      <c r="A105" s="393" t="s">
        <v>1925</v>
      </c>
      <c r="B105" s="390">
        <f>ROUND(+D48,0)</f>
        <v>31231</v>
      </c>
      <c r="C105" s="508">
        <v>3.49E-2</v>
      </c>
      <c r="D105" s="390">
        <f>ROUND(B105*C105,0)</f>
        <v>1090</v>
      </c>
      <c r="E105" s="390"/>
      <c r="F105" s="390"/>
      <c r="G105" s="390"/>
      <c r="H105" s="390"/>
      <c r="I105" s="390"/>
      <c r="J105" s="390"/>
    </row>
    <row r="106" spans="1:10" x14ac:dyDescent="0.2">
      <c r="A106" s="393" t="s">
        <v>196</v>
      </c>
      <c r="B106" s="390">
        <f>+D51</f>
        <v>25920</v>
      </c>
      <c r="C106" s="508">
        <v>3.49E-2</v>
      </c>
      <c r="D106" s="390">
        <f>ROUND(B106*C106,0)</f>
        <v>905</v>
      </c>
      <c r="E106" s="390"/>
      <c r="F106" s="390"/>
      <c r="G106" s="390"/>
      <c r="H106" s="390"/>
      <c r="I106" s="390"/>
      <c r="J106" s="390"/>
    </row>
    <row r="107" spans="1:10" x14ac:dyDescent="0.2">
      <c r="A107" s="393" t="s">
        <v>1926</v>
      </c>
      <c r="B107" s="390">
        <f>ROUND(D60,0)</f>
        <v>81500</v>
      </c>
      <c r="C107" s="508">
        <v>3.49E-2</v>
      </c>
      <c r="D107" s="394">
        <f>ROUND(B107*C107,0)+17</f>
        <v>2861</v>
      </c>
      <c r="E107" s="390"/>
      <c r="F107" s="390"/>
      <c r="G107" s="390"/>
      <c r="H107" s="390"/>
      <c r="I107" s="390"/>
      <c r="J107" s="390"/>
    </row>
    <row r="108" spans="1:10" x14ac:dyDescent="0.2">
      <c r="A108" s="393" t="s">
        <v>1320</v>
      </c>
      <c r="B108" s="390"/>
      <c r="C108" s="390"/>
      <c r="D108" s="390">
        <f>SUM(D102:D107)+2</f>
        <v>44741</v>
      </c>
      <c r="E108" s="390"/>
      <c r="F108" s="390"/>
      <c r="G108" s="390"/>
      <c r="H108" s="390"/>
      <c r="I108" s="390"/>
      <c r="J108" s="390"/>
    </row>
    <row r="109" spans="1:10" x14ac:dyDescent="0.2">
      <c r="A109" s="393"/>
      <c r="B109" s="390"/>
      <c r="C109" s="390"/>
      <c r="D109" s="390"/>
      <c r="E109" s="390"/>
      <c r="F109" s="390"/>
      <c r="G109" s="390"/>
      <c r="H109" s="390"/>
      <c r="I109" s="390"/>
      <c r="J109" s="390"/>
    </row>
    <row r="110" spans="1:10" ht="13.5" x14ac:dyDescent="0.25">
      <c r="A110" s="424" t="s">
        <v>1077</v>
      </c>
      <c r="B110" s="390"/>
      <c r="C110" s="390"/>
      <c r="D110" s="390"/>
      <c r="E110" s="390">
        <v>388</v>
      </c>
      <c r="F110" s="390">
        <v>511</v>
      </c>
      <c r="G110" s="390">
        <v>511</v>
      </c>
      <c r="H110" s="390">
        <v>511</v>
      </c>
      <c r="I110" s="390">
        <v>512</v>
      </c>
      <c r="J110" s="390"/>
    </row>
    <row r="111" spans="1:10" x14ac:dyDescent="0.2">
      <c r="A111" s="393" t="s">
        <v>660</v>
      </c>
      <c r="B111" s="390">
        <v>23</v>
      </c>
      <c r="C111" s="390">
        <v>20</v>
      </c>
      <c r="D111" s="390">
        <f>ROUND(B111*C111,0)</f>
        <v>460</v>
      </c>
      <c r="E111" s="390"/>
      <c r="F111" s="390"/>
      <c r="G111" s="390"/>
      <c r="H111" s="390"/>
      <c r="I111" s="390"/>
      <c r="J111" s="390"/>
    </row>
    <row r="112" spans="1:10" x14ac:dyDescent="0.2">
      <c r="A112" s="393" t="s">
        <v>1189</v>
      </c>
      <c r="B112" s="390">
        <f>+B67</f>
        <v>37121</v>
      </c>
      <c r="C112" s="390">
        <v>1.4E-3</v>
      </c>
      <c r="D112" s="394">
        <f>ROUND(B112*C112,0)</f>
        <v>52</v>
      </c>
      <c r="E112" s="390"/>
      <c r="F112" s="390"/>
      <c r="G112" s="390"/>
      <c r="H112" s="390"/>
      <c r="I112" s="390"/>
      <c r="J112" s="390"/>
    </row>
    <row r="113" spans="1:10" x14ac:dyDescent="0.2">
      <c r="A113" s="393" t="s">
        <v>1320</v>
      </c>
      <c r="B113" s="390"/>
      <c r="C113" s="390"/>
      <c r="D113" s="390">
        <f>SUM(D111:D112)</f>
        <v>512</v>
      </c>
      <c r="E113" s="390"/>
      <c r="F113" s="390"/>
      <c r="G113" s="390"/>
      <c r="H113" s="390"/>
      <c r="I113" s="390"/>
      <c r="J113" s="390"/>
    </row>
    <row r="114" spans="1:10" x14ac:dyDescent="0.2">
      <c r="A114" s="393"/>
      <c r="B114" s="390"/>
      <c r="C114" s="390"/>
      <c r="D114" s="390"/>
      <c r="E114" s="390"/>
      <c r="F114" s="390"/>
      <c r="G114" s="390"/>
      <c r="H114" s="390"/>
      <c r="I114" s="390"/>
      <c r="J114" s="390"/>
    </row>
    <row r="115" spans="1:10" x14ac:dyDescent="0.2">
      <c r="A115" s="393"/>
      <c r="B115" s="390"/>
      <c r="C115" s="390"/>
      <c r="D115" s="390"/>
      <c r="E115" s="390"/>
      <c r="F115" s="390"/>
      <c r="G115" s="390"/>
      <c r="H115" s="390"/>
      <c r="I115" s="390"/>
      <c r="J115" s="390"/>
    </row>
    <row r="116" spans="1:10" x14ac:dyDescent="0.2">
      <c r="A116" s="393"/>
      <c r="B116" s="390"/>
      <c r="C116" s="390"/>
      <c r="D116" s="390"/>
      <c r="E116" s="390"/>
      <c r="F116" s="390"/>
      <c r="G116" s="390"/>
      <c r="H116" s="390"/>
      <c r="I116" s="390"/>
      <c r="J116" s="390"/>
    </row>
    <row r="117" spans="1:10" ht="13.5" x14ac:dyDescent="0.25">
      <c r="A117" s="424" t="s">
        <v>1078</v>
      </c>
      <c r="B117" s="390"/>
      <c r="C117" s="390"/>
      <c r="D117" s="390"/>
      <c r="E117" s="390">
        <v>927</v>
      </c>
      <c r="F117" s="390">
        <v>2200</v>
      </c>
      <c r="G117" s="390">
        <v>1500</v>
      </c>
      <c r="H117" s="390">
        <v>1500</v>
      </c>
      <c r="I117" s="390">
        <v>1500</v>
      </c>
      <c r="J117" s="390"/>
    </row>
    <row r="118" spans="1:10" x14ac:dyDescent="0.2">
      <c r="A118" s="393" t="s">
        <v>1726</v>
      </c>
      <c r="B118" s="390"/>
      <c r="C118" s="390"/>
      <c r="D118" s="390">
        <v>1500</v>
      </c>
      <c r="E118" s="390"/>
      <c r="F118" s="390"/>
      <c r="G118" s="390"/>
      <c r="H118" s="390"/>
      <c r="I118" s="390"/>
      <c r="J118" s="390"/>
    </row>
    <row r="119" spans="1:10" x14ac:dyDescent="0.2">
      <c r="A119" s="393" t="s">
        <v>1838</v>
      </c>
      <c r="B119" s="390"/>
      <c r="C119" s="390"/>
      <c r="D119" s="390"/>
      <c r="E119" s="390"/>
      <c r="F119" s="390"/>
      <c r="G119" s="390"/>
      <c r="H119" s="390"/>
      <c r="I119" s="390"/>
      <c r="J119" s="390"/>
    </row>
    <row r="120" spans="1:10" x14ac:dyDescent="0.2">
      <c r="A120" s="393" t="s">
        <v>418</v>
      </c>
      <c r="B120" s="390"/>
      <c r="C120" s="390"/>
      <c r="D120" s="390" t="s">
        <v>418</v>
      </c>
      <c r="E120" s="390"/>
      <c r="F120" s="390"/>
      <c r="G120" s="390"/>
      <c r="H120" s="390"/>
      <c r="I120" s="390"/>
      <c r="J120" s="390"/>
    </row>
    <row r="121" spans="1:10" ht="13.5" x14ac:dyDescent="0.25">
      <c r="A121" s="424" t="s">
        <v>1093</v>
      </c>
      <c r="B121" s="390"/>
      <c r="C121" s="390"/>
      <c r="D121" s="390"/>
      <c r="E121" s="390">
        <v>2614</v>
      </c>
      <c r="F121" s="390">
        <v>1400</v>
      </c>
      <c r="G121" s="390">
        <v>1800</v>
      </c>
      <c r="H121" s="390">
        <v>1800</v>
      </c>
      <c r="I121" s="390">
        <v>1800</v>
      </c>
      <c r="J121" s="390"/>
    </row>
    <row r="122" spans="1:10" x14ac:dyDescent="0.2">
      <c r="A122" s="393" t="s">
        <v>665</v>
      </c>
      <c r="B122" s="390"/>
      <c r="C122" s="390"/>
      <c r="D122" s="390">
        <v>1800</v>
      </c>
      <c r="E122" s="390"/>
      <c r="F122" s="390"/>
      <c r="G122" s="390"/>
      <c r="H122" s="390"/>
      <c r="I122" s="390"/>
      <c r="J122" s="390"/>
    </row>
    <row r="123" spans="1:10" x14ac:dyDescent="0.2">
      <c r="A123" s="393"/>
      <c r="B123" s="390"/>
      <c r="C123" s="390"/>
      <c r="D123" s="390"/>
      <c r="E123" s="390"/>
      <c r="F123" s="390"/>
      <c r="G123" s="390"/>
      <c r="H123" s="390"/>
      <c r="I123" s="390"/>
      <c r="J123" s="390"/>
    </row>
    <row r="124" spans="1:10" ht="13.5" x14ac:dyDescent="0.25">
      <c r="A124" s="424" t="s">
        <v>1094</v>
      </c>
      <c r="B124" s="390"/>
      <c r="C124" s="390"/>
      <c r="D124" s="390"/>
      <c r="E124" s="390">
        <v>6343</v>
      </c>
      <c r="F124" s="390">
        <v>8500</v>
      </c>
      <c r="G124" s="390">
        <v>8500</v>
      </c>
      <c r="H124" s="390">
        <v>8500</v>
      </c>
      <c r="I124" s="390">
        <v>8500</v>
      </c>
      <c r="J124" s="390"/>
    </row>
    <row r="125" spans="1:10" x14ac:dyDescent="0.2">
      <c r="A125" s="393" t="s">
        <v>1095</v>
      </c>
      <c r="B125" s="390"/>
      <c r="C125" s="390"/>
      <c r="D125" s="390">
        <v>5500</v>
      </c>
      <c r="E125" s="390"/>
      <c r="F125" s="390"/>
      <c r="G125" s="390"/>
      <c r="H125" s="390"/>
      <c r="I125" s="390"/>
      <c r="J125" s="390"/>
    </row>
    <row r="126" spans="1:10" x14ac:dyDescent="0.2">
      <c r="A126" s="393" t="s">
        <v>1727</v>
      </c>
      <c r="B126" s="390"/>
      <c r="C126" s="390"/>
      <c r="D126" s="390"/>
      <c r="E126" s="390"/>
      <c r="F126" s="390"/>
      <c r="G126" s="390"/>
      <c r="H126" s="390"/>
      <c r="I126" s="390"/>
      <c r="J126" s="390"/>
    </row>
    <row r="127" spans="1:10" x14ac:dyDescent="0.2">
      <c r="A127" s="393" t="s">
        <v>66</v>
      </c>
      <c r="B127" s="390"/>
      <c r="C127" s="390"/>
      <c r="D127" s="394">
        <v>3000</v>
      </c>
      <c r="E127" s="390"/>
      <c r="F127" s="390"/>
      <c r="G127" s="390"/>
      <c r="H127" s="390"/>
      <c r="I127" s="390"/>
      <c r="J127" s="390"/>
    </row>
    <row r="128" spans="1:10" x14ac:dyDescent="0.2">
      <c r="A128" s="393" t="s">
        <v>1320</v>
      </c>
      <c r="B128" s="390"/>
      <c r="C128" s="390"/>
      <c r="D128" s="390">
        <f>SUM(D125:D127)</f>
        <v>8500</v>
      </c>
      <c r="E128" s="390"/>
      <c r="F128" s="390"/>
      <c r="G128" s="390"/>
      <c r="H128" s="390"/>
      <c r="I128" s="390"/>
      <c r="J128" s="390"/>
    </row>
    <row r="129" spans="1:10" x14ac:dyDescent="0.2">
      <c r="A129" s="393"/>
      <c r="B129" s="390"/>
      <c r="C129" s="390"/>
      <c r="D129" s="390"/>
      <c r="E129" s="390"/>
      <c r="F129" s="390"/>
      <c r="G129" s="390"/>
      <c r="H129" s="390"/>
      <c r="I129" s="390"/>
      <c r="J129" s="390"/>
    </row>
    <row r="130" spans="1:10" ht="13.5" x14ac:dyDescent="0.25">
      <c r="A130" s="424" t="s">
        <v>1096</v>
      </c>
      <c r="B130" s="390"/>
      <c r="C130" s="390"/>
      <c r="D130" s="390"/>
      <c r="E130" s="390">
        <v>13064</v>
      </c>
      <c r="F130" s="390">
        <v>11814</v>
      </c>
      <c r="G130" s="390">
        <v>11814</v>
      </c>
      <c r="H130" s="390">
        <v>11814</v>
      </c>
      <c r="I130" s="390">
        <v>11814</v>
      </c>
      <c r="J130" s="390"/>
    </row>
    <row r="131" spans="1:10" x14ac:dyDescent="0.2">
      <c r="A131" s="393" t="s">
        <v>701</v>
      </c>
      <c r="B131" s="390">
        <v>19</v>
      </c>
      <c r="C131" s="390">
        <v>200</v>
      </c>
      <c r="D131" s="390">
        <f t="shared" ref="D131:D139" si="2">ROUND(B131*C131,0)</f>
        <v>3800</v>
      </c>
      <c r="E131" s="390"/>
      <c r="F131" s="390"/>
      <c r="G131" s="390"/>
      <c r="H131" s="390"/>
      <c r="I131" s="390"/>
      <c r="J131" s="390"/>
    </row>
    <row r="132" spans="1:10" x14ac:dyDescent="0.2">
      <c r="A132" s="393" t="s">
        <v>998</v>
      </c>
      <c r="B132" s="390">
        <v>19</v>
      </c>
      <c r="C132" s="390">
        <v>203</v>
      </c>
      <c r="D132" s="390">
        <f t="shared" si="2"/>
        <v>3857</v>
      </c>
      <c r="E132" s="390"/>
      <c r="F132" s="390"/>
      <c r="G132" s="390"/>
      <c r="H132" s="390"/>
      <c r="I132" s="390"/>
      <c r="J132" s="390"/>
    </row>
    <row r="133" spans="1:10" x14ac:dyDescent="0.2">
      <c r="A133" s="393" t="s">
        <v>1143</v>
      </c>
      <c r="B133" s="390">
        <v>3</v>
      </c>
      <c r="C133" s="390">
        <v>275</v>
      </c>
      <c r="D133" s="390">
        <f t="shared" si="2"/>
        <v>825</v>
      </c>
      <c r="E133" s="390"/>
      <c r="F133" s="390"/>
      <c r="G133" s="390"/>
      <c r="H133" s="390"/>
      <c r="I133" s="390"/>
      <c r="J133" s="390"/>
    </row>
    <row r="134" spans="1:10" x14ac:dyDescent="0.2">
      <c r="A134" s="393" t="s">
        <v>1144</v>
      </c>
      <c r="B134" s="390">
        <v>2.2999999999999998</v>
      </c>
      <c r="C134" s="390">
        <v>203</v>
      </c>
      <c r="D134" s="390">
        <f t="shared" si="2"/>
        <v>467</v>
      </c>
      <c r="E134" s="390"/>
      <c r="F134" s="390"/>
      <c r="G134" s="390"/>
      <c r="H134" s="390"/>
      <c r="I134" s="390"/>
      <c r="J134" s="390"/>
    </row>
    <row r="135" spans="1:10" x14ac:dyDescent="0.2">
      <c r="A135" s="393" t="s">
        <v>1145</v>
      </c>
      <c r="B135" s="390">
        <v>1</v>
      </c>
      <c r="C135" s="390">
        <v>225</v>
      </c>
      <c r="D135" s="390">
        <f t="shared" si="2"/>
        <v>225</v>
      </c>
      <c r="E135" s="390"/>
      <c r="F135" s="390"/>
      <c r="G135" s="390"/>
      <c r="H135" s="390"/>
      <c r="I135" s="390"/>
      <c r="J135" s="390"/>
    </row>
    <row r="136" spans="1:10" x14ac:dyDescent="0.2">
      <c r="A136" s="393" t="s">
        <v>1728</v>
      </c>
      <c r="B136" s="390">
        <v>1</v>
      </c>
      <c r="C136" s="390">
        <v>255</v>
      </c>
      <c r="D136" s="390">
        <f t="shared" si="2"/>
        <v>255</v>
      </c>
      <c r="E136" s="390"/>
      <c r="F136" s="390"/>
      <c r="G136" s="390"/>
      <c r="H136" s="390"/>
      <c r="I136" s="390"/>
      <c r="J136" s="390"/>
    </row>
    <row r="137" spans="1:10" x14ac:dyDescent="0.2">
      <c r="A137" s="393" t="s">
        <v>1973</v>
      </c>
      <c r="B137" s="390">
        <v>4</v>
      </c>
      <c r="C137" s="390">
        <v>150</v>
      </c>
      <c r="D137" s="390">
        <f t="shared" si="2"/>
        <v>600</v>
      </c>
      <c r="E137" s="390"/>
      <c r="F137" s="390"/>
      <c r="G137" s="390"/>
      <c r="H137" s="390"/>
      <c r="I137" s="390"/>
      <c r="J137" s="390"/>
    </row>
    <row r="138" spans="1:10" x14ac:dyDescent="0.2">
      <c r="A138" s="393" t="s">
        <v>1146</v>
      </c>
      <c r="B138" s="390">
        <v>24</v>
      </c>
      <c r="C138" s="390">
        <v>60</v>
      </c>
      <c r="D138" s="390">
        <f t="shared" si="2"/>
        <v>1440</v>
      </c>
      <c r="E138" s="390"/>
      <c r="F138" s="390"/>
      <c r="G138" s="390"/>
      <c r="H138" s="390"/>
      <c r="I138" s="390"/>
      <c r="J138" s="390"/>
    </row>
    <row r="139" spans="1:10" s="415" customFormat="1" x14ac:dyDescent="0.2">
      <c r="A139" s="393" t="s">
        <v>2504</v>
      </c>
      <c r="B139" s="390">
        <v>3</v>
      </c>
      <c r="C139" s="390">
        <v>115</v>
      </c>
      <c r="D139" s="394">
        <f t="shared" si="2"/>
        <v>345</v>
      </c>
      <c r="E139" s="390"/>
      <c r="F139" s="390"/>
      <c r="G139" s="390"/>
      <c r="H139" s="390"/>
      <c r="I139" s="390"/>
      <c r="J139" s="390"/>
    </row>
    <row r="140" spans="1:10" x14ac:dyDescent="0.2">
      <c r="A140" s="393" t="s">
        <v>1320</v>
      </c>
      <c r="B140" s="390"/>
      <c r="C140" s="390"/>
      <c r="D140" s="390">
        <f>SUM(D131:D139)</f>
        <v>11814</v>
      </c>
      <c r="E140" s="390"/>
      <c r="F140" s="390"/>
      <c r="G140" s="390"/>
      <c r="H140" s="390"/>
      <c r="I140" s="390"/>
      <c r="J140" s="390"/>
    </row>
    <row r="141" spans="1:10" x14ac:dyDescent="0.2">
      <c r="A141" s="393"/>
      <c r="B141" s="390"/>
      <c r="C141" s="390"/>
      <c r="D141" s="390"/>
      <c r="E141" s="390"/>
      <c r="F141" s="390"/>
      <c r="G141" s="390"/>
      <c r="H141" s="390"/>
      <c r="I141" s="390"/>
      <c r="J141" s="390"/>
    </row>
    <row r="142" spans="1:10" ht="13.5" x14ac:dyDescent="0.25">
      <c r="A142" s="424" t="s">
        <v>1157</v>
      </c>
      <c r="B142" s="390"/>
      <c r="C142" s="390"/>
      <c r="D142" s="390"/>
      <c r="E142" s="390">
        <v>3900</v>
      </c>
      <c r="F142" s="390">
        <v>5900</v>
      </c>
      <c r="G142" s="390">
        <v>5900</v>
      </c>
      <c r="H142" s="390">
        <v>5900</v>
      </c>
      <c r="I142" s="390">
        <v>5900</v>
      </c>
      <c r="J142" s="390"/>
    </row>
    <row r="143" spans="1:10" x14ac:dyDescent="0.2">
      <c r="A143" s="393" t="s">
        <v>2474</v>
      </c>
      <c r="B143" s="390"/>
      <c r="C143" s="390"/>
      <c r="D143" s="390">
        <v>1000</v>
      </c>
      <c r="E143" s="390"/>
      <c r="F143" s="390"/>
      <c r="G143" s="390"/>
      <c r="H143" s="390"/>
      <c r="I143" s="390"/>
      <c r="J143" s="390"/>
    </row>
    <row r="144" spans="1:10" x14ac:dyDescent="0.2">
      <c r="A144" s="393" t="s">
        <v>2475</v>
      </c>
      <c r="B144" s="390"/>
      <c r="C144" s="390"/>
      <c r="D144" s="390">
        <v>2400</v>
      </c>
      <c r="E144" s="390"/>
      <c r="F144" s="390"/>
      <c r="G144" s="390"/>
      <c r="H144" s="390"/>
      <c r="I144" s="390"/>
      <c r="J144" s="390"/>
    </row>
    <row r="145" spans="1:10" x14ac:dyDescent="0.2">
      <c r="A145" s="393" t="s">
        <v>2476</v>
      </c>
      <c r="B145" s="390"/>
      <c r="C145" s="390"/>
      <c r="D145" s="394">
        <v>2500</v>
      </c>
      <c r="E145" s="390"/>
      <c r="F145" s="390"/>
      <c r="G145" s="390"/>
      <c r="H145" s="390"/>
      <c r="I145" s="390"/>
      <c r="J145" s="390"/>
    </row>
    <row r="146" spans="1:10" x14ac:dyDescent="0.2">
      <c r="A146" s="393"/>
      <c r="B146" s="390"/>
      <c r="C146" s="390"/>
      <c r="D146" s="390">
        <f>SUM(D143:D145)</f>
        <v>5900</v>
      </c>
      <c r="E146" s="390"/>
      <c r="F146" s="390"/>
      <c r="G146" s="390"/>
      <c r="H146" s="390"/>
      <c r="I146" s="390"/>
      <c r="J146" s="390"/>
    </row>
    <row r="147" spans="1:10" x14ac:dyDescent="0.2">
      <c r="A147" s="393"/>
      <c r="B147" s="390"/>
      <c r="C147" s="390"/>
      <c r="D147" s="390"/>
      <c r="E147" s="390"/>
      <c r="F147" s="390"/>
      <c r="G147" s="390"/>
      <c r="H147" s="390"/>
      <c r="I147" s="390"/>
      <c r="J147" s="390"/>
    </row>
    <row r="148" spans="1:10" ht="13.5" x14ac:dyDescent="0.25">
      <c r="A148" s="424" t="s">
        <v>1407</v>
      </c>
      <c r="B148" s="390"/>
      <c r="C148" s="390"/>
      <c r="D148" s="390"/>
      <c r="E148" s="390">
        <v>155</v>
      </c>
      <c r="F148" s="390">
        <v>500</v>
      </c>
      <c r="G148" s="390">
        <v>500</v>
      </c>
      <c r="H148" s="390">
        <v>500</v>
      </c>
      <c r="I148" s="390">
        <v>500</v>
      </c>
      <c r="J148" s="390"/>
    </row>
    <row r="149" spans="1:10" x14ac:dyDescent="0.2">
      <c r="A149" s="393" t="s">
        <v>2044</v>
      </c>
      <c r="B149" s="390"/>
      <c r="C149" s="390"/>
      <c r="D149" s="390">
        <v>500</v>
      </c>
      <c r="E149" s="390"/>
      <c r="F149" s="390"/>
      <c r="G149" s="390"/>
      <c r="H149" s="390"/>
      <c r="I149" s="390"/>
      <c r="J149" s="390"/>
    </row>
    <row r="150" spans="1:10" x14ac:dyDescent="0.2">
      <c r="A150" s="393"/>
      <c r="B150" s="390"/>
      <c r="C150" s="390"/>
      <c r="D150" s="390"/>
      <c r="E150" s="390"/>
      <c r="F150" s="390"/>
      <c r="G150" s="390"/>
      <c r="H150" s="390"/>
      <c r="I150" s="390"/>
      <c r="J150" s="390"/>
    </row>
    <row r="151" spans="1:10" ht="13.5" x14ac:dyDescent="0.25">
      <c r="A151" s="424" t="s">
        <v>1599</v>
      </c>
      <c r="B151" s="390"/>
      <c r="C151" s="390"/>
      <c r="D151" s="390"/>
      <c r="E151" s="390">
        <v>35</v>
      </c>
      <c r="F151" s="390">
        <v>50</v>
      </c>
      <c r="G151" s="390">
        <v>50</v>
      </c>
      <c r="H151" s="390">
        <v>50</v>
      </c>
      <c r="I151" s="390">
        <v>50</v>
      </c>
      <c r="J151" s="390"/>
    </row>
    <row r="152" spans="1:10" x14ac:dyDescent="0.2">
      <c r="A152" s="393"/>
      <c r="B152" s="390"/>
      <c r="C152" s="390"/>
      <c r="D152" s="390">
        <v>50</v>
      </c>
      <c r="E152" s="390"/>
      <c r="F152" s="390"/>
      <c r="G152" s="390"/>
      <c r="H152" s="390"/>
      <c r="I152" s="390"/>
      <c r="J152" s="390"/>
    </row>
    <row r="153" spans="1:10" x14ac:dyDescent="0.2">
      <c r="A153" s="393"/>
      <c r="B153" s="390"/>
      <c r="C153" s="390"/>
      <c r="D153" s="390"/>
      <c r="E153" s="390"/>
      <c r="F153" s="390"/>
      <c r="G153" s="390"/>
      <c r="H153" s="390"/>
      <c r="I153" s="390"/>
      <c r="J153" s="390"/>
    </row>
    <row r="154" spans="1:10" ht="13.5" x14ac:dyDescent="0.25">
      <c r="A154" s="424" t="s">
        <v>1408</v>
      </c>
      <c r="B154" s="390"/>
      <c r="C154" s="390"/>
      <c r="D154" s="390"/>
      <c r="E154" s="390">
        <v>13075</v>
      </c>
      <c r="F154" s="390">
        <v>12415</v>
      </c>
      <c r="G154" s="390">
        <v>13300</v>
      </c>
      <c r="H154" s="390">
        <v>13300</v>
      </c>
      <c r="I154" s="390">
        <v>13300</v>
      </c>
      <c r="J154" s="390"/>
    </row>
    <row r="155" spans="1:10" x14ac:dyDescent="0.2">
      <c r="A155" s="393" t="s">
        <v>167</v>
      </c>
      <c r="B155" s="390"/>
      <c r="C155" s="390"/>
      <c r="D155" s="390">
        <v>9700</v>
      </c>
      <c r="E155" s="390"/>
      <c r="F155" s="390"/>
      <c r="G155" s="390"/>
      <c r="H155" s="390"/>
      <c r="I155" s="390"/>
      <c r="J155" s="390"/>
    </row>
    <row r="156" spans="1:10" x14ac:dyDescent="0.2">
      <c r="A156" s="393" t="s">
        <v>2268</v>
      </c>
      <c r="B156" s="390"/>
      <c r="C156" s="390"/>
      <c r="D156" s="390">
        <v>3600</v>
      </c>
      <c r="E156" s="390"/>
      <c r="F156" s="390"/>
      <c r="G156" s="390"/>
      <c r="H156" s="390"/>
      <c r="I156" s="390"/>
      <c r="J156" s="390"/>
    </row>
    <row r="157" spans="1:10" x14ac:dyDescent="0.2">
      <c r="A157" s="393" t="s">
        <v>1333</v>
      </c>
      <c r="B157" s="390"/>
      <c r="C157" s="390"/>
      <c r="D157" s="394">
        <v>0</v>
      </c>
      <c r="E157" s="390"/>
      <c r="F157" s="390"/>
      <c r="G157" s="390"/>
      <c r="H157" s="390"/>
      <c r="I157" s="390"/>
      <c r="J157" s="390"/>
    </row>
    <row r="158" spans="1:10" x14ac:dyDescent="0.2">
      <c r="A158" s="393" t="s">
        <v>1320</v>
      </c>
      <c r="B158" s="390"/>
      <c r="C158" s="390"/>
      <c r="D158" s="390">
        <f>SUM(D155:D157)</f>
        <v>13300</v>
      </c>
      <c r="E158" s="390"/>
      <c r="F158" s="390"/>
      <c r="G158" s="390"/>
      <c r="H158" s="390"/>
      <c r="I158" s="390"/>
      <c r="J158" s="390"/>
    </row>
    <row r="159" spans="1:10" x14ac:dyDescent="0.2">
      <c r="A159" s="393"/>
      <c r="B159" s="390"/>
      <c r="C159" s="390"/>
      <c r="D159" s="390"/>
      <c r="E159" s="390"/>
      <c r="F159" s="390"/>
      <c r="G159" s="390"/>
      <c r="H159" s="390"/>
      <c r="I159" s="390"/>
      <c r="J159" s="390"/>
    </row>
    <row r="160" spans="1:10" ht="13.5" x14ac:dyDescent="0.25">
      <c r="A160" s="424" t="s">
        <v>645</v>
      </c>
      <c r="B160" s="390"/>
      <c r="C160" s="390"/>
      <c r="D160" s="390"/>
      <c r="E160" s="390">
        <v>16657</v>
      </c>
      <c r="F160" s="390">
        <v>16400</v>
      </c>
      <c r="G160" s="390">
        <v>18600</v>
      </c>
      <c r="H160" s="390">
        <v>18600</v>
      </c>
      <c r="I160" s="390">
        <v>18600</v>
      </c>
      <c r="J160" s="390"/>
    </row>
    <row r="161" spans="1:10" x14ac:dyDescent="0.2">
      <c r="A161" s="393" t="s">
        <v>167</v>
      </c>
      <c r="B161" s="390"/>
      <c r="C161" s="390"/>
      <c r="D161" s="390">
        <v>9400</v>
      </c>
      <c r="E161" s="390"/>
      <c r="F161" s="390"/>
      <c r="G161" s="390"/>
      <c r="H161" s="390"/>
      <c r="I161" s="390"/>
      <c r="J161" s="390"/>
    </row>
    <row r="162" spans="1:10" x14ac:dyDescent="0.2">
      <c r="A162" s="393" t="s">
        <v>2090</v>
      </c>
      <c r="B162" s="390"/>
      <c r="C162" s="390"/>
      <c r="D162" s="394">
        <v>9200</v>
      </c>
      <c r="E162" s="390"/>
      <c r="F162" s="390"/>
      <c r="G162" s="390"/>
      <c r="H162" s="390"/>
      <c r="I162" s="390"/>
      <c r="J162" s="390"/>
    </row>
    <row r="163" spans="1:10" x14ac:dyDescent="0.2">
      <c r="A163" s="393" t="s">
        <v>1320</v>
      </c>
      <c r="B163" s="390"/>
      <c r="C163" s="390"/>
      <c r="D163" s="390">
        <f>SUM(D161:D162)</f>
        <v>18600</v>
      </c>
      <c r="E163" s="390"/>
      <c r="F163" s="390"/>
      <c r="G163" s="390"/>
      <c r="H163" s="390"/>
      <c r="I163" s="390"/>
      <c r="J163" s="390"/>
    </row>
    <row r="164" spans="1:10" x14ac:dyDescent="0.2">
      <c r="A164" s="393"/>
      <c r="B164" s="390"/>
      <c r="C164" s="390"/>
      <c r="D164" s="390"/>
      <c r="E164" s="390"/>
      <c r="F164" s="390"/>
      <c r="G164" s="390"/>
      <c r="H164" s="390"/>
      <c r="I164" s="390"/>
      <c r="J164" s="390"/>
    </row>
    <row r="165" spans="1:10" ht="13.5" x14ac:dyDescent="0.25">
      <c r="A165" s="424" t="s">
        <v>1573</v>
      </c>
      <c r="B165" s="390"/>
      <c r="C165" s="390"/>
      <c r="D165" s="390"/>
      <c r="E165" s="390">
        <v>2548</v>
      </c>
      <c r="F165" s="390">
        <v>2300</v>
      </c>
      <c r="G165" s="390">
        <v>2750</v>
      </c>
      <c r="H165" s="390">
        <v>2750</v>
      </c>
      <c r="I165" s="390">
        <v>2750</v>
      </c>
      <c r="J165" s="390"/>
    </row>
    <row r="166" spans="1:10" x14ac:dyDescent="0.2">
      <c r="A166" s="393" t="s">
        <v>1018</v>
      </c>
      <c r="B166" s="390"/>
      <c r="C166" s="390"/>
      <c r="D166" s="390">
        <v>2750</v>
      </c>
      <c r="E166" s="390"/>
      <c r="F166" s="390"/>
      <c r="G166" s="390"/>
      <c r="H166" s="390"/>
      <c r="I166" s="390"/>
      <c r="J166" s="390"/>
    </row>
    <row r="167" spans="1:10" x14ac:dyDescent="0.2">
      <c r="A167" s="393"/>
      <c r="B167" s="390"/>
      <c r="C167" s="390"/>
      <c r="D167" s="390"/>
      <c r="E167" s="390"/>
      <c r="F167" s="390"/>
      <c r="G167" s="390"/>
      <c r="H167" s="390"/>
      <c r="I167" s="390"/>
      <c r="J167" s="390"/>
    </row>
    <row r="168" spans="1:10" ht="13.5" x14ac:dyDescent="0.25">
      <c r="A168" s="424" t="s">
        <v>168</v>
      </c>
      <c r="B168" s="390"/>
      <c r="C168" s="390"/>
      <c r="D168" s="390"/>
      <c r="E168" s="390">
        <v>296</v>
      </c>
      <c r="F168" s="390">
        <v>304</v>
      </c>
      <c r="G168" s="390">
        <v>340</v>
      </c>
      <c r="H168" s="390">
        <v>340</v>
      </c>
      <c r="I168" s="390">
        <v>340</v>
      </c>
      <c r="J168" s="390"/>
    </row>
    <row r="169" spans="1:10" x14ac:dyDescent="0.2">
      <c r="A169" s="393" t="s">
        <v>1018</v>
      </c>
      <c r="B169" s="390"/>
      <c r="C169" s="390"/>
      <c r="D169" s="390">
        <v>340</v>
      </c>
      <c r="E169" s="390"/>
      <c r="F169" s="390"/>
      <c r="G169" s="390"/>
      <c r="H169" s="390"/>
      <c r="I169" s="390"/>
      <c r="J169" s="390"/>
    </row>
    <row r="170" spans="1:10" x14ac:dyDescent="0.2">
      <c r="A170" s="393"/>
      <c r="B170" s="390"/>
      <c r="C170" s="390"/>
      <c r="D170" s="390"/>
      <c r="E170" s="390"/>
      <c r="F170" s="390"/>
      <c r="G170" s="390"/>
      <c r="H170" s="390"/>
      <c r="I170" s="390"/>
      <c r="J170" s="390"/>
    </row>
    <row r="171" spans="1:10" ht="13.5" x14ac:dyDescent="0.25">
      <c r="A171" s="424" t="s">
        <v>1574</v>
      </c>
      <c r="B171" s="390"/>
      <c r="C171" s="390"/>
      <c r="D171" s="390"/>
      <c r="E171" s="390">
        <v>76125</v>
      </c>
      <c r="F171" s="390">
        <v>84625</v>
      </c>
      <c r="G171" s="390">
        <v>123775</v>
      </c>
      <c r="H171" s="390">
        <v>123775</v>
      </c>
      <c r="I171" s="390">
        <v>123775</v>
      </c>
      <c r="J171" s="390"/>
    </row>
    <row r="172" spans="1:10" x14ac:dyDescent="0.2">
      <c r="A172" s="393" t="s">
        <v>1355</v>
      </c>
      <c r="B172" s="390">
        <v>7500</v>
      </c>
      <c r="C172" s="509">
        <v>3.5</v>
      </c>
      <c r="D172" s="390">
        <f>ROUND(B172*C172,0)</f>
        <v>26250</v>
      </c>
      <c r="E172" s="390"/>
      <c r="F172" s="390"/>
      <c r="G172" s="390"/>
      <c r="H172" s="390"/>
      <c r="I172" s="390"/>
      <c r="J172" s="390"/>
    </row>
    <row r="173" spans="1:10" x14ac:dyDescent="0.2">
      <c r="A173" s="393" t="s">
        <v>1354</v>
      </c>
      <c r="B173" s="390">
        <v>23500</v>
      </c>
      <c r="C173" s="509">
        <v>4.1500000000000004</v>
      </c>
      <c r="D173" s="394">
        <f>ROUND(B173*C173,0)</f>
        <v>97525</v>
      </c>
      <c r="E173" s="390"/>
      <c r="F173" s="390"/>
      <c r="G173" s="390"/>
      <c r="H173" s="390"/>
      <c r="I173" s="390"/>
      <c r="J173" s="390"/>
    </row>
    <row r="174" spans="1:10" x14ac:dyDescent="0.2">
      <c r="A174" s="393" t="s">
        <v>1320</v>
      </c>
      <c r="B174" s="390"/>
      <c r="C174" s="390"/>
      <c r="D174" s="390">
        <f>SUM(D172:D173)</f>
        <v>123775</v>
      </c>
      <c r="E174" s="390"/>
      <c r="F174" s="390"/>
      <c r="G174" s="390"/>
      <c r="H174" s="390"/>
      <c r="I174" s="390"/>
      <c r="J174" s="390"/>
    </row>
    <row r="175" spans="1:10" x14ac:dyDescent="0.2">
      <c r="A175" s="393"/>
      <c r="B175" s="390"/>
      <c r="C175" s="390"/>
      <c r="D175" s="390"/>
      <c r="E175" s="390"/>
      <c r="F175" s="390"/>
      <c r="G175" s="390"/>
      <c r="H175" s="390"/>
      <c r="I175" s="390"/>
      <c r="J175" s="390"/>
    </row>
    <row r="176" spans="1:10" ht="13.5" x14ac:dyDescent="0.25">
      <c r="A176" s="424" t="s">
        <v>1575</v>
      </c>
      <c r="B176" s="390"/>
      <c r="C176" s="390"/>
      <c r="D176" s="390"/>
      <c r="E176" s="390">
        <v>10485</v>
      </c>
      <c r="F176" s="390">
        <v>9218</v>
      </c>
      <c r="G176" s="390">
        <v>10850</v>
      </c>
      <c r="H176" s="390">
        <v>10850</v>
      </c>
      <c r="I176" s="390">
        <v>10850</v>
      </c>
      <c r="J176" s="390"/>
    </row>
    <row r="177" spans="1:10" x14ac:dyDescent="0.2">
      <c r="A177" s="393" t="s">
        <v>1026</v>
      </c>
      <c r="B177" s="390"/>
      <c r="C177" s="390"/>
      <c r="D177" s="390">
        <v>3500</v>
      </c>
      <c r="E177" s="390"/>
      <c r="F177" s="390"/>
      <c r="G177" s="390"/>
      <c r="H177" s="390"/>
      <c r="I177" s="390"/>
      <c r="J177" s="390"/>
    </row>
    <row r="178" spans="1:10" x14ac:dyDescent="0.2">
      <c r="A178" s="393" t="s">
        <v>2091</v>
      </c>
      <c r="B178" s="390">
        <v>1</v>
      </c>
      <c r="C178" s="390"/>
      <c r="D178" s="390">
        <v>150</v>
      </c>
      <c r="E178" s="390"/>
      <c r="F178" s="390"/>
      <c r="G178" s="390"/>
      <c r="H178" s="390"/>
      <c r="I178" s="390"/>
      <c r="J178" s="390"/>
    </row>
    <row r="179" spans="1:10" x14ac:dyDescent="0.2">
      <c r="A179" s="393" t="s">
        <v>2306</v>
      </c>
      <c r="B179" s="390">
        <v>4</v>
      </c>
      <c r="C179" s="390"/>
      <c r="D179" s="390">
        <v>3600</v>
      </c>
      <c r="E179" s="390"/>
      <c r="F179" s="390"/>
      <c r="G179" s="390"/>
      <c r="H179" s="390"/>
      <c r="I179" s="390"/>
      <c r="J179" s="390"/>
    </row>
    <row r="180" spans="1:10" x14ac:dyDescent="0.2">
      <c r="A180" s="393" t="s">
        <v>666</v>
      </c>
      <c r="B180" s="390">
        <v>12</v>
      </c>
      <c r="C180" s="390">
        <v>300</v>
      </c>
      <c r="D180" s="394">
        <f>B180*C180</f>
        <v>3600</v>
      </c>
      <c r="E180" s="390"/>
      <c r="F180" s="390"/>
      <c r="G180" s="390"/>
      <c r="H180" s="390"/>
      <c r="I180" s="390"/>
      <c r="J180" s="390"/>
    </row>
    <row r="181" spans="1:10" x14ac:dyDescent="0.2">
      <c r="A181" s="393"/>
      <c r="B181" s="390"/>
      <c r="C181" s="390"/>
      <c r="D181" s="390">
        <f>SUM(D177:D180)</f>
        <v>10850</v>
      </c>
      <c r="E181" s="390"/>
      <c r="F181" s="390"/>
      <c r="G181" s="390"/>
      <c r="H181" s="390"/>
      <c r="I181" s="390"/>
      <c r="J181" s="390"/>
    </row>
    <row r="182" spans="1:10" x14ac:dyDescent="0.2">
      <c r="A182" s="393"/>
      <c r="B182" s="390"/>
      <c r="C182" s="390"/>
      <c r="D182" s="390"/>
      <c r="E182" s="390"/>
      <c r="F182" s="390"/>
      <c r="G182" s="390"/>
      <c r="H182" s="390"/>
      <c r="I182" s="390"/>
      <c r="J182" s="390"/>
    </row>
    <row r="183" spans="1:10" ht="13.5" x14ac:dyDescent="0.25">
      <c r="A183" s="424" t="s">
        <v>540</v>
      </c>
      <c r="B183" s="390"/>
      <c r="C183" s="390"/>
      <c r="D183" s="390"/>
      <c r="E183" s="390">
        <v>1113</v>
      </c>
      <c r="F183" s="390">
        <v>680</v>
      </c>
      <c r="G183" s="390">
        <v>680</v>
      </c>
      <c r="H183" s="390">
        <v>680</v>
      </c>
      <c r="I183" s="390">
        <v>680</v>
      </c>
      <c r="J183" s="390"/>
    </row>
    <row r="184" spans="1:10" x14ac:dyDescent="0.2">
      <c r="A184" s="393" t="s">
        <v>2477</v>
      </c>
      <c r="B184" s="390" t="s">
        <v>418</v>
      </c>
      <c r="C184" s="390"/>
      <c r="D184" s="390">
        <v>680</v>
      </c>
      <c r="E184" s="390"/>
      <c r="F184" s="390"/>
      <c r="G184" s="390"/>
      <c r="H184" s="390"/>
      <c r="I184" s="390"/>
      <c r="J184" s="390"/>
    </row>
    <row r="185" spans="1:10" x14ac:dyDescent="0.2">
      <c r="A185" s="393"/>
      <c r="B185" s="390"/>
      <c r="C185" s="390"/>
      <c r="D185" s="390"/>
      <c r="E185" s="390"/>
      <c r="F185" s="390"/>
      <c r="G185" s="390"/>
      <c r="H185" s="390"/>
      <c r="I185" s="390"/>
      <c r="J185" s="390"/>
    </row>
    <row r="186" spans="1:10" ht="13.5" x14ac:dyDescent="0.25">
      <c r="A186" s="424" t="s">
        <v>1500</v>
      </c>
      <c r="B186" s="390"/>
      <c r="C186" s="390"/>
      <c r="D186" s="390"/>
      <c r="E186" s="390">
        <v>39852</v>
      </c>
      <c r="F186" s="390">
        <v>45573</v>
      </c>
      <c r="G186" s="390">
        <v>47852</v>
      </c>
      <c r="H186" s="390">
        <v>47852</v>
      </c>
      <c r="I186" s="390">
        <v>47852</v>
      </c>
      <c r="J186" s="390"/>
    </row>
    <row r="187" spans="1:10" x14ac:dyDescent="0.2">
      <c r="A187" s="393" t="s">
        <v>1697</v>
      </c>
      <c r="B187" s="390"/>
      <c r="C187" s="390"/>
      <c r="D187" s="390">
        <v>47852</v>
      </c>
      <c r="E187" s="390"/>
      <c r="F187" s="390"/>
      <c r="G187" s="390"/>
      <c r="H187" s="390"/>
      <c r="I187" s="390"/>
      <c r="J187" s="390"/>
    </row>
    <row r="188" spans="1:10" x14ac:dyDescent="0.2">
      <c r="A188" s="393"/>
      <c r="B188" s="390"/>
      <c r="C188" s="390"/>
      <c r="D188" s="390"/>
      <c r="E188" s="390"/>
      <c r="F188" s="390"/>
      <c r="G188" s="390"/>
      <c r="H188" s="390"/>
      <c r="I188" s="390"/>
      <c r="J188" s="390"/>
    </row>
    <row r="189" spans="1:10" ht="13.5" x14ac:dyDescent="0.25">
      <c r="A189" s="424" t="s">
        <v>1501</v>
      </c>
      <c r="B189" s="390"/>
      <c r="C189" s="390"/>
      <c r="D189" s="390"/>
      <c r="E189" s="390">
        <v>348</v>
      </c>
      <c r="F189" s="390">
        <v>500</v>
      </c>
      <c r="G189" s="390">
        <v>3500</v>
      </c>
      <c r="H189" s="390">
        <v>3500</v>
      </c>
      <c r="I189" s="390">
        <v>3500</v>
      </c>
      <c r="J189" s="390"/>
    </row>
    <row r="190" spans="1:10" x14ac:dyDescent="0.2">
      <c r="A190" s="393" t="s">
        <v>1729</v>
      </c>
      <c r="B190" s="390"/>
      <c r="C190" s="390"/>
      <c r="D190" s="390">
        <v>500</v>
      </c>
      <c r="E190" s="390"/>
      <c r="F190" s="390"/>
      <c r="G190" s="390"/>
      <c r="H190" s="390"/>
      <c r="I190" s="390"/>
      <c r="J190" s="390"/>
    </row>
    <row r="191" spans="1:10" x14ac:dyDescent="0.2">
      <c r="A191" s="393" t="s">
        <v>2566</v>
      </c>
      <c r="B191" s="390"/>
      <c r="C191" s="390"/>
      <c r="D191" s="394">
        <v>3000</v>
      </c>
      <c r="E191" s="390"/>
      <c r="F191" s="390"/>
      <c r="G191" s="390"/>
      <c r="H191" s="390"/>
      <c r="I191" s="390"/>
      <c r="J191" s="390"/>
    </row>
    <row r="192" spans="1:10" x14ac:dyDescent="0.2">
      <c r="A192" s="393"/>
      <c r="B192" s="390"/>
      <c r="C192" s="390"/>
      <c r="D192" s="390">
        <f>SUM(D190:D191)</f>
        <v>3500</v>
      </c>
      <c r="E192" s="390"/>
      <c r="F192" s="390"/>
      <c r="G192" s="390"/>
      <c r="H192" s="390"/>
      <c r="I192" s="390"/>
      <c r="J192" s="390"/>
    </row>
    <row r="193" spans="1:10" x14ac:dyDescent="0.2">
      <c r="A193" s="393"/>
      <c r="B193" s="390"/>
      <c r="C193" s="390"/>
      <c r="D193" s="390"/>
      <c r="E193" s="390"/>
      <c r="F193" s="390"/>
      <c r="G193" s="390"/>
      <c r="H193" s="390"/>
      <c r="I193" s="390"/>
      <c r="J193" s="390"/>
    </row>
    <row r="194" spans="1:10" ht="13.5" x14ac:dyDescent="0.25">
      <c r="A194" s="424" t="s">
        <v>310</v>
      </c>
      <c r="B194" s="390"/>
      <c r="C194" s="390"/>
      <c r="D194" s="390" t="s">
        <v>418</v>
      </c>
      <c r="E194" s="390">
        <v>9893</v>
      </c>
      <c r="F194" s="390">
        <v>7000</v>
      </c>
      <c r="G194" s="390">
        <v>9000</v>
      </c>
      <c r="H194" s="390">
        <v>9000</v>
      </c>
      <c r="I194" s="390">
        <v>9000</v>
      </c>
      <c r="J194" s="390"/>
    </row>
    <row r="195" spans="1:10" x14ac:dyDescent="0.2">
      <c r="A195" s="393" t="s">
        <v>311</v>
      </c>
      <c r="B195" s="390"/>
      <c r="C195" s="390"/>
      <c r="D195" s="390"/>
      <c r="E195" s="390"/>
      <c r="F195" s="390"/>
      <c r="G195" s="390"/>
      <c r="H195" s="390"/>
      <c r="I195" s="390"/>
      <c r="J195" s="390"/>
    </row>
    <row r="196" spans="1:10" x14ac:dyDescent="0.2">
      <c r="A196" s="393" t="s">
        <v>1730</v>
      </c>
      <c r="B196" s="390"/>
      <c r="C196" s="390"/>
      <c r="D196" s="390">
        <v>6000</v>
      </c>
      <c r="E196" s="390"/>
      <c r="F196" s="390"/>
      <c r="G196" s="390"/>
      <c r="H196" s="390"/>
      <c r="I196" s="390"/>
      <c r="J196" s="390"/>
    </row>
    <row r="197" spans="1:10" x14ac:dyDescent="0.2">
      <c r="A197" s="393" t="s">
        <v>1839</v>
      </c>
      <c r="B197" s="390"/>
      <c r="C197" s="390"/>
      <c r="D197" s="394">
        <v>3000</v>
      </c>
      <c r="E197" s="390"/>
      <c r="F197" s="390"/>
      <c r="G197" s="390"/>
      <c r="H197" s="390"/>
      <c r="I197" s="390"/>
      <c r="J197" s="390"/>
    </row>
    <row r="198" spans="1:10" x14ac:dyDescent="0.2">
      <c r="A198" s="393" t="s">
        <v>1320</v>
      </c>
      <c r="B198" s="390"/>
      <c r="C198" s="390"/>
      <c r="D198" s="390">
        <f>SUM(D196:D197)</f>
        <v>9000</v>
      </c>
      <c r="E198" s="390"/>
      <c r="F198" s="390"/>
      <c r="G198" s="390"/>
      <c r="H198" s="390"/>
      <c r="I198" s="390"/>
      <c r="J198" s="390"/>
    </row>
    <row r="199" spans="1:10" x14ac:dyDescent="0.2">
      <c r="A199" s="393"/>
      <c r="B199" s="390"/>
      <c r="C199" s="390"/>
      <c r="D199" s="390"/>
      <c r="E199" s="390"/>
      <c r="F199" s="390"/>
      <c r="G199" s="390"/>
      <c r="H199" s="390"/>
      <c r="I199" s="390"/>
      <c r="J199" s="390"/>
    </row>
    <row r="200" spans="1:10" ht="13.5" x14ac:dyDescent="0.25">
      <c r="A200" s="424" t="s">
        <v>1518</v>
      </c>
      <c r="B200" s="390"/>
      <c r="C200" s="390"/>
      <c r="D200" s="390"/>
      <c r="E200" s="390">
        <v>8221</v>
      </c>
      <c r="F200" s="390">
        <v>15050</v>
      </c>
      <c r="G200" s="390">
        <v>15050</v>
      </c>
      <c r="H200" s="390">
        <v>15050</v>
      </c>
      <c r="I200" s="390">
        <v>15050</v>
      </c>
      <c r="J200" s="390"/>
    </row>
    <row r="201" spans="1:10" x14ac:dyDescent="0.2">
      <c r="A201" s="393" t="s">
        <v>1452</v>
      </c>
      <c r="B201" s="390"/>
      <c r="C201" s="390"/>
      <c r="D201" s="390" t="s">
        <v>418</v>
      </c>
      <c r="E201" s="390"/>
      <c r="F201" s="390"/>
      <c r="G201" s="390"/>
      <c r="H201" s="390"/>
      <c r="I201" s="390"/>
      <c r="J201" s="390"/>
    </row>
    <row r="202" spans="1:10" x14ac:dyDescent="0.2">
      <c r="A202" s="393" t="s">
        <v>28</v>
      </c>
      <c r="B202" s="390"/>
      <c r="C202" s="390"/>
      <c r="D202" s="390">
        <v>500</v>
      </c>
      <c r="E202" s="390"/>
      <c r="F202" s="390"/>
      <c r="G202" s="390"/>
      <c r="H202" s="390"/>
      <c r="I202" s="390"/>
      <c r="J202" s="390"/>
    </row>
    <row r="203" spans="1:10" x14ac:dyDescent="0.2">
      <c r="A203" s="393" t="s">
        <v>102</v>
      </c>
      <c r="B203" s="390"/>
      <c r="C203" s="390"/>
      <c r="D203" s="390">
        <v>600</v>
      </c>
      <c r="E203" s="390"/>
      <c r="F203" s="390"/>
      <c r="G203" s="390"/>
      <c r="H203" s="390"/>
      <c r="I203" s="390"/>
      <c r="J203" s="390"/>
    </row>
    <row r="204" spans="1:10" x14ac:dyDescent="0.2">
      <c r="A204" s="393" t="s">
        <v>1840</v>
      </c>
      <c r="B204" s="390"/>
      <c r="C204" s="390"/>
      <c r="D204" s="390"/>
      <c r="E204" s="390"/>
      <c r="F204" s="390"/>
      <c r="G204" s="390"/>
      <c r="H204" s="390"/>
      <c r="I204" s="390"/>
      <c r="J204" s="390"/>
    </row>
    <row r="205" spans="1:10" x14ac:dyDescent="0.2">
      <c r="A205" s="393" t="s">
        <v>576</v>
      </c>
      <c r="B205" s="390"/>
      <c r="C205" s="390"/>
      <c r="D205" s="390">
        <v>200</v>
      </c>
      <c r="E205" s="390"/>
      <c r="F205" s="390"/>
      <c r="G205" s="390"/>
      <c r="H205" s="390"/>
      <c r="I205" s="390"/>
      <c r="J205" s="390"/>
    </row>
    <row r="206" spans="1:10" x14ac:dyDescent="0.2">
      <c r="A206" s="393" t="s">
        <v>577</v>
      </c>
      <c r="B206" s="390"/>
      <c r="C206" s="390"/>
      <c r="D206" s="390">
        <v>600</v>
      </c>
      <c r="E206" s="390"/>
      <c r="F206" s="390"/>
      <c r="G206" s="390"/>
      <c r="H206" s="390"/>
      <c r="I206" s="390"/>
      <c r="J206" s="390"/>
    </row>
    <row r="207" spans="1:10" x14ac:dyDescent="0.2">
      <c r="A207" s="393" t="s">
        <v>578</v>
      </c>
      <c r="B207" s="390"/>
      <c r="C207" s="390"/>
      <c r="D207" s="390">
        <v>100</v>
      </c>
      <c r="E207" s="390"/>
      <c r="F207" s="390"/>
      <c r="G207" s="390"/>
      <c r="H207" s="390"/>
      <c r="I207" s="390"/>
      <c r="J207" s="390"/>
    </row>
    <row r="208" spans="1:10" x14ac:dyDescent="0.2">
      <c r="A208" s="393" t="s">
        <v>1127</v>
      </c>
      <c r="B208" s="390"/>
      <c r="C208" s="390"/>
      <c r="D208" s="390">
        <v>50</v>
      </c>
      <c r="E208" s="390"/>
      <c r="F208" s="390"/>
      <c r="G208" s="390"/>
      <c r="H208" s="390"/>
      <c r="I208" s="390"/>
      <c r="J208" s="390"/>
    </row>
    <row r="209" spans="1:10" x14ac:dyDescent="0.2">
      <c r="A209" s="393" t="s">
        <v>1731</v>
      </c>
      <c r="B209" s="390"/>
      <c r="C209" s="390"/>
      <c r="D209" s="390">
        <v>2000</v>
      </c>
      <c r="E209" s="390"/>
      <c r="F209" s="390"/>
      <c r="G209" s="390"/>
      <c r="H209" s="390"/>
      <c r="I209" s="390"/>
      <c r="J209" s="390"/>
    </row>
    <row r="210" spans="1:10" x14ac:dyDescent="0.2">
      <c r="A210" s="393" t="s">
        <v>1732</v>
      </c>
      <c r="B210" s="390"/>
      <c r="C210" s="390"/>
      <c r="D210" s="390">
        <v>4100</v>
      </c>
      <c r="E210" s="390"/>
      <c r="F210" s="390"/>
      <c r="G210" s="390"/>
      <c r="H210" s="390"/>
      <c r="I210" s="390"/>
      <c r="J210" s="390"/>
    </row>
    <row r="211" spans="1:10" x14ac:dyDescent="0.2">
      <c r="A211" s="393" t="s">
        <v>339</v>
      </c>
      <c r="B211" s="390"/>
      <c r="C211" s="390"/>
      <c r="D211" s="390">
        <v>900</v>
      </c>
      <c r="E211" s="390"/>
      <c r="F211" s="390"/>
      <c r="G211" s="390"/>
      <c r="H211" s="390"/>
      <c r="I211" s="390"/>
      <c r="J211" s="390"/>
    </row>
    <row r="212" spans="1:10" x14ac:dyDescent="0.2">
      <c r="A212" s="393" t="s">
        <v>2127</v>
      </c>
      <c r="B212" s="390"/>
      <c r="C212" s="390"/>
      <c r="D212" s="390">
        <v>0</v>
      </c>
      <c r="E212" s="390"/>
      <c r="F212" s="390"/>
      <c r="G212" s="390"/>
      <c r="H212" s="390"/>
      <c r="I212" s="390"/>
      <c r="J212" s="390"/>
    </row>
    <row r="213" spans="1:10" x14ac:dyDescent="0.2">
      <c r="A213" s="393" t="s">
        <v>340</v>
      </c>
      <c r="B213" s="390"/>
      <c r="C213" s="390"/>
      <c r="D213" s="390">
        <v>500</v>
      </c>
      <c r="E213" s="390"/>
      <c r="F213" s="390"/>
      <c r="G213" s="390"/>
      <c r="H213" s="390"/>
      <c r="I213" s="390"/>
      <c r="J213" s="390"/>
    </row>
    <row r="214" spans="1:10" x14ac:dyDescent="0.2">
      <c r="A214" s="393" t="s">
        <v>2269</v>
      </c>
      <c r="B214" s="390"/>
      <c r="C214" s="390"/>
      <c r="D214" s="390">
        <v>500</v>
      </c>
      <c r="E214" s="390"/>
      <c r="F214" s="390"/>
      <c r="G214" s="390"/>
      <c r="H214" s="390"/>
      <c r="I214" s="390"/>
      <c r="J214" s="390"/>
    </row>
    <row r="215" spans="1:10" x14ac:dyDescent="0.2">
      <c r="A215" s="393" t="s">
        <v>1974</v>
      </c>
      <c r="B215" s="390"/>
      <c r="C215" s="390"/>
      <c r="D215" s="394">
        <v>5000</v>
      </c>
      <c r="E215" s="390"/>
      <c r="F215" s="390"/>
      <c r="G215" s="390"/>
      <c r="H215" s="390"/>
      <c r="I215" s="390"/>
      <c r="J215" s="390"/>
    </row>
    <row r="216" spans="1:10" x14ac:dyDescent="0.2">
      <c r="A216" s="393" t="s">
        <v>1320</v>
      </c>
      <c r="B216" s="390"/>
      <c r="C216" s="390"/>
      <c r="D216" s="390">
        <f>SUM(D202:D215)</f>
        <v>15050</v>
      </c>
      <c r="E216" s="390"/>
      <c r="F216" s="390"/>
      <c r="G216" s="390"/>
      <c r="H216" s="390"/>
      <c r="I216" s="390"/>
      <c r="J216" s="390"/>
    </row>
    <row r="217" spans="1:10" x14ac:dyDescent="0.2">
      <c r="A217" s="393"/>
      <c r="B217" s="390"/>
      <c r="C217" s="390"/>
      <c r="D217" s="390"/>
      <c r="E217" s="390"/>
      <c r="F217" s="390"/>
      <c r="G217" s="390"/>
      <c r="H217" s="390"/>
      <c r="I217" s="390"/>
      <c r="J217" s="390"/>
    </row>
    <row r="218" spans="1:10" ht="13.5" x14ac:dyDescent="0.25">
      <c r="A218" s="424" t="s">
        <v>453</v>
      </c>
      <c r="B218" s="390"/>
      <c r="C218" s="390"/>
      <c r="D218" s="390"/>
      <c r="E218" s="390">
        <v>126633</v>
      </c>
      <c r="F218" s="390">
        <v>135000</v>
      </c>
      <c r="G218" s="390">
        <v>141500</v>
      </c>
      <c r="H218" s="390">
        <v>141500</v>
      </c>
      <c r="I218" s="390">
        <v>141500</v>
      </c>
      <c r="J218" s="390"/>
    </row>
    <row r="219" spans="1:10" x14ac:dyDescent="0.2">
      <c r="A219" s="393" t="s">
        <v>1740</v>
      </c>
      <c r="B219" s="390"/>
      <c r="C219" s="390"/>
      <c r="D219" s="390">
        <v>141500</v>
      </c>
      <c r="E219" s="390"/>
      <c r="F219" s="390"/>
      <c r="G219" s="390"/>
      <c r="H219" s="390"/>
      <c r="I219" s="390"/>
      <c r="J219" s="390"/>
    </row>
    <row r="220" spans="1:10" x14ac:dyDescent="0.2">
      <c r="A220" s="393"/>
      <c r="B220" s="390"/>
      <c r="C220" s="390"/>
      <c r="D220" s="390"/>
      <c r="E220" s="390"/>
      <c r="F220" s="390"/>
      <c r="G220" s="390"/>
      <c r="H220" s="390"/>
      <c r="I220" s="390"/>
      <c r="J220" s="390"/>
    </row>
    <row r="221" spans="1:10" ht="13.5" x14ac:dyDescent="0.25">
      <c r="A221" s="424" t="s">
        <v>1423</v>
      </c>
      <c r="B221" s="390"/>
      <c r="C221" s="390"/>
      <c r="D221" s="390"/>
      <c r="E221" s="390">
        <v>3038</v>
      </c>
      <c r="F221" s="390">
        <v>4870</v>
      </c>
      <c r="G221" s="390">
        <v>4870</v>
      </c>
      <c r="H221" s="390">
        <v>4870</v>
      </c>
      <c r="I221" s="390">
        <v>4870</v>
      </c>
      <c r="J221" s="390"/>
    </row>
    <row r="222" spans="1:10" x14ac:dyDescent="0.2">
      <c r="A222" s="393" t="s">
        <v>58</v>
      </c>
      <c r="B222" s="390"/>
      <c r="C222" s="390"/>
      <c r="D222" s="390"/>
      <c r="E222" s="390"/>
      <c r="F222" s="390"/>
      <c r="G222" s="390"/>
      <c r="H222" s="390"/>
      <c r="I222" s="390"/>
      <c r="J222" s="390"/>
    </row>
    <row r="223" spans="1:10" x14ac:dyDescent="0.2">
      <c r="A223" s="393" t="s">
        <v>2270</v>
      </c>
      <c r="B223" s="390"/>
      <c r="C223" s="390"/>
      <c r="D223" s="390">
        <v>3370</v>
      </c>
      <c r="E223" s="390"/>
      <c r="F223" s="390"/>
      <c r="G223" s="390"/>
      <c r="H223" s="390"/>
      <c r="I223" s="390"/>
      <c r="J223" s="390"/>
    </row>
    <row r="224" spans="1:10" x14ac:dyDescent="0.2">
      <c r="A224" s="393" t="s">
        <v>53</v>
      </c>
      <c r="B224" s="390"/>
      <c r="C224" s="390"/>
      <c r="D224" s="394">
        <v>1500</v>
      </c>
      <c r="E224" s="390"/>
      <c r="F224" s="390"/>
      <c r="G224" s="390"/>
      <c r="H224" s="390"/>
      <c r="I224" s="390"/>
      <c r="J224" s="390"/>
    </row>
    <row r="225" spans="1:10" x14ac:dyDescent="0.2">
      <c r="A225" s="393" t="s">
        <v>1320</v>
      </c>
      <c r="B225" s="390"/>
      <c r="C225" s="390"/>
      <c r="D225" s="390">
        <f>SUM(D222:D224)</f>
        <v>4870</v>
      </c>
      <c r="E225" s="390"/>
      <c r="F225" s="390"/>
      <c r="G225" s="390"/>
      <c r="H225" s="390"/>
      <c r="I225" s="390"/>
      <c r="J225" s="390"/>
    </row>
    <row r="226" spans="1:10" x14ac:dyDescent="0.2">
      <c r="A226" s="393"/>
      <c r="B226" s="390"/>
      <c r="C226" s="390"/>
      <c r="D226" s="390"/>
      <c r="E226" s="390"/>
      <c r="F226" s="390"/>
      <c r="G226" s="390"/>
      <c r="H226" s="390"/>
      <c r="I226" s="390"/>
      <c r="J226" s="390"/>
    </row>
    <row r="227" spans="1:10" ht="13.5" x14ac:dyDescent="0.25">
      <c r="A227" s="424" t="s">
        <v>1371</v>
      </c>
      <c r="B227" s="390"/>
      <c r="C227" s="390"/>
      <c r="D227" s="390"/>
      <c r="E227" s="390">
        <v>5615</v>
      </c>
      <c r="F227" s="390">
        <v>11160</v>
      </c>
      <c r="G227" s="390">
        <v>11160</v>
      </c>
      <c r="H227" s="390">
        <v>11160</v>
      </c>
      <c r="I227" s="390">
        <v>11160</v>
      </c>
      <c r="J227" s="390"/>
    </row>
    <row r="228" spans="1:10" x14ac:dyDescent="0.2">
      <c r="A228" s="393" t="s">
        <v>1661</v>
      </c>
      <c r="B228" s="390"/>
      <c r="C228" s="390"/>
      <c r="D228" s="390">
        <f>15000-10000</f>
        <v>5000</v>
      </c>
      <c r="E228" s="390"/>
      <c r="F228" s="390"/>
      <c r="G228" s="390"/>
      <c r="H228" s="390"/>
      <c r="I228" s="390"/>
      <c r="J228" s="390"/>
    </row>
    <row r="229" spans="1:10" x14ac:dyDescent="0.2">
      <c r="A229" s="393" t="s">
        <v>1616</v>
      </c>
      <c r="B229" s="390"/>
      <c r="C229" s="390"/>
      <c r="D229" s="394">
        <v>6160</v>
      </c>
      <c r="E229" s="390"/>
      <c r="F229" s="390"/>
      <c r="G229" s="390"/>
      <c r="H229" s="390"/>
      <c r="I229" s="390"/>
      <c r="J229" s="390"/>
    </row>
    <row r="230" spans="1:10" x14ac:dyDescent="0.2">
      <c r="A230" s="393" t="s">
        <v>1320</v>
      </c>
      <c r="B230" s="390"/>
      <c r="C230" s="390"/>
      <c r="D230" s="390">
        <f>SUM(D228:D229)</f>
        <v>11160</v>
      </c>
      <c r="E230" s="390"/>
      <c r="F230" s="390"/>
      <c r="G230" s="390"/>
      <c r="H230" s="390"/>
      <c r="I230" s="390"/>
      <c r="J230" s="390"/>
    </row>
    <row r="231" spans="1:10" x14ac:dyDescent="0.2">
      <c r="A231" s="393"/>
      <c r="B231" s="390"/>
      <c r="C231" s="390"/>
      <c r="D231" s="390"/>
      <c r="E231" s="390"/>
      <c r="F231" s="390"/>
      <c r="G231" s="390"/>
      <c r="H231" s="390"/>
      <c r="I231" s="390"/>
      <c r="J231" s="390"/>
    </row>
    <row r="232" spans="1:10" ht="13.5" x14ac:dyDescent="0.25">
      <c r="A232" s="424" t="s">
        <v>1372</v>
      </c>
      <c r="B232" s="390"/>
      <c r="C232" s="390"/>
      <c r="D232" s="390"/>
      <c r="E232" s="390">
        <v>190330</v>
      </c>
      <c r="F232" s="390">
        <v>194480</v>
      </c>
      <c r="G232" s="390">
        <v>201135</v>
      </c>
      <c r="H232" s="390">
        <v>201135</v>
      </c>
      <c r="I232" s="390">
        <v>201135</v>
      </c>
      <c r="J232" s="390"/>
    </row>
    <row r="233" spans="1:10" x14ac:dyDescent="0.2">
      <c r="A233" s="393" t="s">
        <v>2567</v>
      </c>
      <c r="B233" s="390"/>
      <c r="C233" s="390"/>
      <c r="D233" s="390">
        <f>2000*79.22</f>
        <v>158440</v>
      </c>
      <c r="E233" s="390"/>
      <c r="F233" s="390"/>
      <c r="G233" s="390"/>
      <c r="H233" s="390"/>
      <c r="I233" s="390"/>
      <c r="J233" s="390"/>
    </row>
    <row r="234" spans="1:10" x14ac:dyDescent="0.2">
      <c r="A234" s="393" t="s">
        <v>2568</v>
      </c>
      <c r="B234" s="390"/>
      <c r="C234" s="390"/>
      <c r="D234" s="390">
        <f>110*89.5</f>
        <v>9845</v>
      </c>
      <c r="E234" s="390"/>
      <c r="F234" s="390"/>
      <c r="G234" s="390"/>
      <c r="H234" s="390"/>
      <c r="I234" s="390"/>
      <c r="J234" s="390"/>
    </row>
    <row r="235" spans="1:10" x14ac:dyDescent="0.2">
      <c r="A235" s="393" t="s">
        <v>2569</v>
      </c>
      <c r="B235" s="390"/>
      <c r="C235" s="390"/>
      <c r="D235" s="390">
        <v>18000</v>
      </c>
      <c r="E235" s="390"/>
      <c r="F235" s="390"/>
      <c r="G235" s="390"/>
      <c r="H235" s="390"/>
      <c r="I235" s="390"/>
      <c r="J235" s="390"/>
    </row>
    <row r="236" spans="1:10" x14ac:dyDescent="0.2">
      <c r="A236" s="393" t="s">
        <v>2570</v>
      </c>
      <c r="B236" s="390"/>
      <c r="C236" s="390"/>
      <c r="D236" s="390">
        <v>6250</v>
      </c>
      <c r="E236" s="390"/>
      <c r="F236" s="390"/>
      <c r="G236" s="390"/>
      <c r="H236" s="390"/>
      <c r="I236" s="390"/>
      <c r="J236" s="390"/>
    </row>
    <row r="237" spans="1:10" x14ac:dyDescent="0.2">
      <c r="A237" s="393" t="s">
        <v>2478</v>
      </c>
      <c r="B237" s="390"/>
      <c r="C237" s="390"/>
      <c r="D237" s="394">
        <v>8600</v>
      </c>
      <c r="E237" s="390"/>
      <c r="F237" s="390"/>
      <c r="G237" s="390"/>
      <c r="H237" s="390"/>
      <c r="I237" s="390"/>
      <c r="J237" s="390"/>
    </row>
    <row r="238" spans="1:10" x14ac:dyDescent="0.2">
      <c r="A238" s="393"/>
      <c r="B238" s="390"/>
      <c r="C238" s="390"/>
      <c r="D238" s="390">
        <f>SUM(D233:D237)</f>
        <v>201135</v>
      </c>
      <c r="E238" s="390"/>
      <c r="F238" s="390"/>
      <c r="G238" s="390"/>
      <c r="H238" s="390"/>
      <c r="I238" s="390"/>
      <c r="J238" s="390"/>
    </row>
    <row r="239" spans="1:10" x14ac:dyDescent="0.2">
      <c r="A239" s="393"/>
      <c r="B239" s="390"/>
      <c r="C239" s="390"/>
      <c r="D239" s="390"/>
      <c r="E239" s="390"/>
      <c r="F239" s="390"/>
      <c r="G239" s="390"/>
      <c r="H239" s="390"/>
      <c r="I239" s="390"/>
      <c r="J239" s="390"/>
    </row>
    <row r="240" spans="1:10" ht="13.5" x14ac:dyDescent="0.25">
      <c r="A240" s="424" t="s">
        <v>1152</v>
      </c>
      <c r="B240" s="390"/>
      <c r="C240" s="390"/>
      <c r="D240" s="390"/>
      <c r="E240" s="390">
        <v>5077</v>
      </c>
      <c r="F240" s="390">
        <v>2500</v>
      </c>
      <c r="G240" s="390">
        <v>5000</v>
      </c>
      <c r="H240" s="390">
        <v>5000</v>
      </c>
      <c r="I240" s="390">
        <v>5000</v>
      </c>
      <c r="J240" s="390"/>
    </row>
    <row r="241" spans="1:10" x14ac:dyDescent="0.2">
      <c r="A241" s="393" t="s">
        <v>79</v>
      </c>
      <c r="B241" s="390"/>
      <c r="C241" s="390"/>
      <c r="D241" s="390">
        <v>5000</v>
      </c>
      <c r="E241" s="390"/>
      <c r="F241" s="390"/>
      <c r="G241" s="390"/>
      <c r="H241" s="390"/>
      <c r="I241" s="390"/>
      <c r="J241" s="390"/>
    </row>
    <row r="242" spans="1:10" x14ac:dyDescent="0.2">
      <c r="A242" s="393"/>
      <c r="B242" s="390"/>
      <c r="C242" s="390"/>
      <c r="D242" s="390"/>
      <c r="E242" s="390"/>
      <c r="F242" s="390"/>
      <c r="G242" s="390"/>
      <c r="H242" s="390"/>
      <c r="I242" s="390"/>
      <c r="J242" s="390"/>
    </row>
    <row r="243" spans="1:10" ht="13.5" x14ac:dyDescent="0.25">
      <c r="A243" s="424" t="s">
        <v>1393</v>
      </c>
      <c r="B243" s="390"/>
      <c r="C243" s="390"/>
      <c r="D243" s="390"/>
      <c r="E243" s="390">
        <v>13832</v>
      </c>
      <c r="F243" s="390">
        <v>14000</v>
      </c>
      <c r="G243" s="390">
        <v>14000</v>
      </c>
      <c r="H243" s="390">
        <v>14000</v>
      </c>
      <c r="I243" s="390">
        <v>14000</v>
      </c>
      <c r="J243" s="390"/>
    </row>
    <row r="244" spans="1:10" x14ac:dyDescent="0.2">
      <c r="A244" s="393" t="s">
        <v>1394</v>
      </c>
      <c r="B244" s="390"/>
      <c r="C244" s="390"/>
      <c r="D244" s="390">
        <v>14000</v>
      </c>
      <c r="E244" s="390"/>
      <c r="F244" s="390"/>
      <c r="G244" s="390"/>
      <c r="H244" s="390"/>
      <c r="I244" s="390"/>
      <c r="J244" s="390"/>
    </row>
    <row r="245" spans="1:10" x14ac:dyDescent="0.2">
      <c r="A245" s="393" t="s">
        <v>1733</v>
      </c>
      <c r="B245" s="390"/>
      <c r="C245" s="390"/>
      <c r="D245" s="390"/>
      <c r="E245" s="390"/>
      <c r="F245" s="390"/>
      <c r="G245" s="390"/>
      <c r="H245" s="390"/>
      <c r="I245" s="390"/>
      <c r="J245" s="390"/>
    </row>
    <row r="246" spans="1:10" x14ac:dyDescent="0.2">
      <c r="A246" s="393"/>
      <c r="B246" s="390"/>
      <c r="C246" s="390"/>
      <c r="D246" s="390"/>
      <c r="E246" s="390"/>
      <c r="F246" s="390"/>
      <c r="G246" s="390"/>
      <c r="H246" s="390"/>
      <c r="I246" s="390"/>
      <c r="J246" s="390"/>
    </row>
    <row r="247" spans="1:10" ht="13.5" x14ac:dyDescent="0.25">
      <c r="A247" s="424" t="s">
        <v>1118</v>
      </c>
      <c r="B247" s="390"/>
      <c r="C247" s="390"/>
      <c r="D247" s="390"/>
      <c r="E247" s="390">
        <v>5910</v>
      </c>
      <c r="F247" s="390">
        <v>12500</v>
      </c>
      <c r="G247" s="390">
        <v>9000</v>
      </c>
      <c r="H247" s="390">
        <v>9000</v>
      </c>
      <c r="I247" s="390">
        <v>9000</v>
      </c>
      <c r="J247" s="390"/>
    </row>
    <row r="248" spans="1:10" x14ac:dyDescent="0.2">
      <c r="A248" s="393" t="s">
        <v>1285</v>
      </c>
      <c r="B248" s="390"/>
      <c r="C248" s="390"/>
      <c r="D248" s="390">
        <v>9000</v>
      </c>
      <c r="E248" s="390"/>
      <c r="F248" s="390"/>
      <c r="G248" s="390"/>
      <c r="H248" s="390"/>
      <c r="I248" s="390"/>
      <c r="J248" s="390"/>
    </row>
    <row r="249" spans="1:10" x14ac:dyDescent="0.2">
      <c r="A249" s="393"/>
      <c r="B249" s="390"/>
      <c r="C249" s="390"/>
      <c r="D249" s="390"/>
      <c r="E249" s="390"/>
      <c r="F249" s="390"/>
      <c r="G249" s="390"/>
      <c r="H249" s="390"/>
      <c r="I249" s="390"/>
      <c r="J249" s="390"/>
    </row>
    <row r="250" spans="1:10" ht="13.5" x14ac:dyDescent="0.25">
      <c r="A250" s="424" t="s">
        <v>165</v>
      </c>
      <c r="B250" s="390"/>
      <c r="C250" s="390"/>
      <c r="D250" s="390"/>
      <c r="E250" s="390">
        <v>3635</v>
      </c>
      <c r="F250" s="390">
        <v>7500</v>
      </c>
      <c r="G250" s="390">
        <v>7500</v>
      </c>
      <c r="H250" s="390">
        <v>7500</v>
      </c>
      <c r="I250" s="390">
        <v>7500</v>
      </c>
      <c r="J250" s="390"/>
    </row>
    <row r="251" spans="1:10" x14ac:dyDescent="0.2">
      <c r="A251" s="393" t="s">
        <v>38</v>
      </c>
      <c r="B251" s="390"/>
      <c r="C251" s="390"/>
      <c r="D251" s="390">
        <v>7500</v>
      </c>
      <c r="E251" s="390"/>
      <c r="F251" s="390"/>
      <c r="G251" s="390"/>
      <c r="H251" s="390"/>
      <c r="I251" s="390"/>
      <c r="J251" s="390"/>
    </row>
    <row r="252" spans="1:10" x14ac:dyDescent="0.2">
      <c r="A252" s="393" t="s">
        <v>1343</v>
      </c>
      <c r="B252" s="390"/>
      <c r="C252" s="390"/>
      <c r="D252" s="390"/>
      <c r="E252" s="390"/>
      <c r="F252" s="390"/>
      <c r="G252" s="390"/>
      <c r="H252" s="390"/>
      <c r="I252" s="390"/>
      <c r="J252" s="390"/>
    </row>
    <row r="253" spans="1:10" x14ac:dyDescent="0.2">
      <c r="A253" s="393" t="s">
        <v>1344</v>
      </c>
      <c r="B253" s="390"/>
      <c r="C253" s="390"/>
      <c r="D253" s="390"/>
      <c r="E253" s="390"/>
      <c r="F253" s="390"/>
      <c r="G253" s="390"/>
      <c r="H253" s="390"/>
      <c r="I253" s="390"/>
      <c r="J253" s="390"/>
    </row>
    <row r="254" spans="1:10" x14ac:dyDescent="0.2">
      <c r="A254" s="393"/>
      <c r="B254" s="390"/>
      <c r="C254" s="390"/>
      <c r="D254" s="390"/>
      <c r="E254" s="390"/>
      <c r="F254" s="390"/>
      <c r="G254" s="390"/>
      <c r="H254" s="390"/>
      <c r="I254" s="390"/>
      <c r="J254" s="390"/>
    </row>
    <row r="255" spans="1:10" ht="13.5" x14ac:dyDescent="0.25">
      <c r="A255" s="424" t="s">
        <v>1543</v>
      </c>
      <c r="B255" s="390"/>
      <c r="C255" s="390"/>
      <c r="D255" s="390"/>
      <c r="E255" s="390">
        <v>900</v>
      </c>
      <c r="F255" s="390">
        <v>1500</v>
      </c>
      <c r="G255" s="390">
        <v>1500</v>
      </c>
      <c r="H255" s="390">
        <v>1500</v>
      </c>
      <c r="I255" s="390">
        <v>1500</v>
      </c>
      <c r="J255" s="390"/>
    </row>
    <row r="256" spans="1:10" x14ac:dyDescent="0.2">
      <c r="A256" s="393" t="s">
        <v>2128</v>
      </c>
      <c r="B256" s="390"/>
      <c r="C256" s="390"/>
      <c r="D256" s="390">
        <v>1000</v>
      </c>
      <c r="E256" s="390"/>
      <c r="F256" s="390"/>
      <c r="G256" s="390"/>
      <c r="H256" s="390"/>
      <c r="I256" s="390"/>
      <c r="J256" s="390"/>
    </row>
    <row r="257" spans="1:10" x14ac:dyDescent="0.2">
      <c r="A257" s="393" t="s">
        <v>2129</v>
      </c>
      <c r="B257" s="390"/>
      <c r="C257" s="390"/>
      <c r="D257" s="394">
        <v>500</v>
      </c>
      <c r="E257" s="390"/>
      <c r="F257" s="390"/>
      <c r="G257" s="390"/>
      <c r="H257" s="390"/>
      <c r="I257" s="390"/>
      <c r="J257" s="390"/>
    </row>
    <row r="258" spans="1:10" x14ac:dyDescent="0.2">
      <c r="A258" s="393"/>
      <c r="B258" s="390"/>
      <c r="C258" s="390"/>
      <c r="D258" s="390">
        <f>SUM(D256:D257)</f>
        <v>1500</v>
      </c>
      <c r="E258" s="390"/>
      <c r="F258" s="390"/>
      <c r="G258" s="390"/>
      <c r="H258" s="390"/>
      <c r="I258" s="390"/>
      <c r="J258" s="390"/>
    </row>
    <row r="259" spans="1:10" x14ac:dyDescent="0.2">
      <c r="A259" s="393" t="s">
        <v>418</v>
      </c>
      <c r="B259" s="390"/>
      <c r="C259" s="390"/>
      <c r="D259" s="390"/>
      <c r="E259" s="390"/>
      <c r="F259" s="390"/>
      <c r="G259" s="390"/>
      <c r="H259" s="390"/>
      <c r="I259" s="390"/>
      <c r="J259" s="390"/>
    </row>
    <row r="260" spans="1:10" ht="13.5" x14ac:dyDescent="0.25">
      <c r="A260" s="424" t="s">
        <v>1544</v>
      </c>
      <c r="B260" s="390"/>
      <c r="C260" s="390"/>
      <c r="D260" s="390"/>
      <c r="E260" s="390">
        <v>1760</v>
      </c>
      <c r="F260" s="390">
        <v>3000</v>
      </c>
      <c r="G260" s="390">
        <v>3000</v>
      </c>
      <c r="H260" s="390">
        <v>3000</v>
      </c>
      <c r="I260" s="390">
        <v>3000</v>
      </c>
      <c r="J260" s="390"/>
    </row>
    <row r="261" spans="1:10" x14ac:dyDescent="0.2">
      <c r="A261" s="393" t="s">
        <v>1734</v>
      </c>
      <c r="B261" s="390"/>
      <c r="C261" s="390"/>
      <c r="D261" s="390">
        <v>3000</v>
      </c>
      <c r="E261" s="390"/>
      <c r="F261" s="390"/>
      <c r="G261" s="390"/>
      <c r="H261" s="390"/>
      <c r="I261" s="390"/>
      <c r="J261" s="390"/>
    </row>
    <row r="262" spans="1:10" x14ac:dyDescent="0.2">
      <c r="A262" s="393" t="s">
        <v>418</v>
      </c>
      <c r="B262" s="390"/>
      <c r="C262" s="390"/>
      <c r="D262" s="390" t="s">
        <v>418</v>
      </c>
      <c r="E262" s="390"/>
      <c r="F262" s="390"/>
      <c r="G262" s="390"/>
      <c r="H262" s="390"/>
      <c r="I262" s="390"/>
      <c r="J262" s="390"/>
    </row>
    <row r="263" spans="1:10" ht="13.5" x14ac:dyDescent="0.25">
      <c r="A263" s="424" t="s">
        <v>1545</v>
      </c>
      <c r="B263" s="390"/>
      <c r="C263" s="390"/>
      <c r="D263" s="390" t="s">
        <v>418</v>
      </c>
      <c r="E263" s="390">
        <v>18843</v>
      </c>
      <c r="F263" s="390">
        <v>15000</v>
      </c>
      <c r="G263" s="390">
        <v>19000</v>
      </c>
      <c r="H263" s="390">
        <v>19000</v>
      </c>
      <c r="I263" s="390">
        <v>19000</v>
      </c>
      <c r="J263" s="390"/>
    </row>
    <row r="264" spans="1:10" x14ac:dyDescent="0.2">
      <c r="A264" s="393" t="s">
        <v>54</v>
      </c>
      <c r="B264" s="390"/>
      <c r="C264" s="390"/>
      <c r="D264" s="390" t="s">
        <v>418</v>
      </c>
      <c r="E264" s="390"/>
      <c r="F264" s="390"/>
      <c r="G264" s="390"/>
      <c r="H264" s="390"/>
      <c r="I264" s="390"/>
      <c r="J264" s="390"/>
    </row>
    <row r="265" spans="1:10" x14ac:dyDescent="0.2">
      <c r="A265" s="393" t="s">
        <v>1735</v>
      </c>
      <c r="B265" s="390"/>
      <c r="C265" s="390"/>
      <c r="D265" s="390">
        <v>10000</v>
      </c>
      <c r="E265" s="390"/>
      <c r="F265" s="390"/>
      <c r="G265" s="390"/>
      <c r="H265" s="390"/>
      <c r="I265" s="390"/>
      <c r="J265" s="390"/>
    </row>
    <row r="266" spans="1:10" x14ac:dyDescent="0.2">
      <c r="A266" s="393" t="s">
        <v>1617</v>
      </c>
      <c r="B266" s="390"/>
      <c r="C266" s="390"/>
      <c r="D266" s="394">
        <v>9000</v>
      </c>
      <c r="E266" s="390"/>
      <c r="F266" s="390"/>
      <c r="G266" s="390"/>
      <c r="H266" s="390"/>
      <c r="I266" s="390"/>
      <c r="J266" s="390"/>
    </row>
    <row r="267" spans="1:10" x14ac:dyDescent="0.2">
      <c r="A267" s="393" t="s">
        <v>1320</v>
      </c>
      <c r="B267" s="390"/>
      <c r="C267" s="390"/>
      <c r="D267" s="390">
        <f>SUM(D265:D266)</f>
        <v>19000</v>
      </c>
      <c r="E267" s="390"/>
      <c r="F267" s="390"/>
      <c r="G267" s="390"/>
      <c r="H267" s="390"/>
      <c r="I267" s="390"/>
      <c r="J267" s="390"/>
    </row>
    <row r="268" spans="1:10" x14ac:dyDescent="0.2">
      <c r="A268" s="393"/>
      <c r="B268" s="390"/>
      <c r="C268" s="390"/>
      <c r="D268" s="390"/>
      <c r="E268" s="390"/>
      <c r="F268" s="390"/>
      <c r="G268" s="390"/>
      <c r="H268" s="390"/>
      <c r="I268" s="390"/>
      <c r="J268" s="390"/>
    </row>
    <row r="269" spans="1:10" ht="13.5" x14ac:dyDescent="0.25">
      <c r="A269" s="424" t="s">
        <v>1153</v>
      </c>
      <c r="B269" s="390"/>
      <c r="C269" s="390"/>
      <c r="D269" s="390"/>
      <c r="E269" s="390">
        <v>114550</v>
      </c>
      <c r="F269" s="390">
        <v>126795</v>
      </c>
      <c r="G269" s="390">
        <v>192795</v>
      </c>
      <c r="H269" s="390">
        <v>142795</v>
      </c>
      <c r="I269" s="390">
        <v>142795</v>
      </c>
      <c r="J269" s="390"/>
    </row>
    <row r="270" spans="1:10" x14ac:dyDescent="0.2">
      <c r="A270" s="393" t="s">
        <v>487</v>
      </c>
      <c r="B270" s="390"/>
      <c r="C270" s="390"/>
      <c r="D270" s="390">
        <v>49000</v>
      </c>
      <c r="E270" s="390"/>
      <c r="F270" s="390"/>
      <c r="G270" s="390"/>
      <c r="H270" s="390"/>
      <c r="I270" s="390"/>
      <c r="J270" s="390"/>
    </row>
    <row r="271" spans="1:10" x14ac:dyDescent="0.2">
      <c r="A271" s="393" t="s">
        <v>2479</v>
      </c>
      <c r="B271" s="390"/>
      <c r="C271" s="390"/>
      <c r="D271" s="390">
        <v>1650</v>
      </c>
      <c r="E271" s="390"/>
      <c r="F271" s="390"/>
      <c r="G271" s="390"/>
      <c r="H271" s="390"/>
      <c r="I271" s="390"/>
      <c r="J271" s="390"/>
    </row>
    <row r="272" spans="1:10" x14ac:dyDescent="0.2">
      <c r="A272" s="393" t="s">
        <v>605</v>
      </c>
      <c r="B272" s="390"/>
      <c r="C272" s="390"/>
      <c r="D272" s="390">
        <v>75000</v>
      </c>
      <c r="E272" s="390"/>
      <c r="F272" s="390"/>
      <c r="G272" s="390"/>
      <c r="H272" s="390"/>
      <c r="I272" s="390"/>
      <c r="J272" s="390"/>
    </row>
    <row r="273" spans="1:10" x14ac:dyDescent="0.2">
      <c r="A273" s="393" t="s">
        <v>1618</v>
      </c>
      <c r="B273" s="390"/>
      <c r="C273" s="390"/>
      <c r="D273" s="390">
        <v>0</v>
      </c>
      <c r="E273" s="390"/>
      <c r="F273" s="390"/>
      <c r="G273" s="390"/>
      <c r="H273" s="390"/>
      <c r="I273" s="390"/>
      <c r="J273" s="390"/>
    </row>
    <row r="274" spans="1:10" x14ac:dyDescent="0.2">
      <c r="A274" s="393" t="s">
        <v>55</v>
      </c>
      <c r="B274" s="390"/>
      <c r="C274" s="390"/>
      <c r="D274" s="390">
        <v>1800</v>
      </c>
      <c r="E274" s="390"/>
      <c r="F274" s="390"/>
      <c r="G274" s="390"/>
      <c r="H274" s="390"/>
      <c r="I274" s="390"/>
      <c r="J274" s="390"/>
    </row>
    <row r="275" spans="1:10" x14ac:dyDescent="0.2">
      <c r="A275" s="393" t="s">
        <v>56</v>
      </c>
      <c r="B275" s="390"/>
      <c r="C275" s="390"/>
      <c r="D275" s="390">
        <v>1700</v>
      </c>
      <c r="E275" s="390"/>
      <c r="F275" s="390"/>
      <c r="G275" s="390"/>
      <c r="H275" s="390"/>
      <c r="I275" s="390"/>
      <c r="J275" s="390"/>
    </row>
    <row r="276" spans="1:10" x14ac:dyDescent="0.2">
      <c r="A276" s="393" t="s">
        <v>57</v>
      </c>
      <c r="B276" s="390"/>
      <c r="C276" s="390"/>
      <c r="D276" s="390">
        <v>300</v>
      </c>
      <c r="E276" s="390"/>
      <c r="F276" s="390"/>
      <c r="G276" s="390"/>
      <c r="H276" s="390"/>
      <c r="I276" s="390"/>
      <c r="J276" s="390"/>
    </row>
    <row r="277" spans="1:10" x14ac:dyDescent="0.2">
      <c r="A277" s="393" t="s">
        <v>1736</v>
      </c>
      <c r="B277" s="390"/>
      <c r="C277" s="390"/>
      <c r="D277" s="390">
        <v>2000</v>
      </c>
      <c r="E277" s="390"/>
      <c r="F277" s="390"/>
      <c r="G277" s="390"/>
      <c r="H277" s="390"/>
      <c r="I277" s="390"/>
      <c r="J277" s="390"/>
    </row>
    <row r="278" spans="1:10" x14ac:dyDescent="0.2">
      <c r="A278" s="393" t="s">
        <v>136</v>
      </c>
      <c r="B278" s="390"/>
      <c r="C278" s="390"/>
      <c r="D278" s="390">
        <v>7245</v>
      </c>
      <c r="E278" s="390"/>
      <c r="F278" s="390"/>
      <c r="G278" s="390"/>
      <c r="H278" s="390"/>
      <c r="I278" s="390"/>
      <c r="J278" s="390"/>
    </row>
    <row r="279" spans="1:10" x14ac:dyDescent="0.2">
      <c r="A279" s="393" t="s">
        <v>1841</v>
      </c>
      <c r="B279" s="390"/>
      <c r="C279" s="390"/>
      <c r="D279" s="390">
        <v>600</v>
      </c>
      <c r="E279" s="390"/>
      <c r="F279" s="390"/>
      <c r="G279" s="390"/>
      <c r="H279" s="390"/>
      <c r="I279" s="390"/>
      <c r="J279" s="390"/>
    </row>
    <row r="280" spans="1:10" x14ac:dyDescent="0.2">
      <c r="A280" s="393" t="s">
        <v>426</v>
      </c>
      <c r="B280" s="390"/>
      <c r="C280" s="390"/>
      <c r="D280" s="390">
        <v>2500</v>
      </c>
      <c r="E280" s="390"/>
      <c r="F280" s="390"/>
      <c r="G280" s="390"/>
      <c r="H280" s="390"/>
      <c r="I280" s="390"/>
      <c r="J280" s="390"/>
    </row>
    <row r="281" spans="1:10" x14ac:dyDescent="0.2">
      <c r="A281" s="393" t="s">
        <v>604</v>
      </c>
      <c r="B281" s="390"/>
      <c r="C281" s="390"/>
      <c r="D281" s="394">
        <v>1000</v>
      </c>
      <c r="E281" s="390"/>
      <c r="F281" s="390"/>
      <c r="G281" s="390"/>
      <c r="H281" s="390"/>
      <c r="I281" s="390"/>
      <c r="J281" s="390"/>
    </row>
    <row r="282" spans="1:10" x14ac:dyDescent="0.2">
      <c r="A282" s="393" t="s">
        <v>1320</v>
      </c>
      <c r="B282" s="390"/>
      <c r="C282" s="390"/>
      <c r="D282" s="390">
        <f>SUM(D270:D281)</f>
        <v>142795</v>
      </c>
      <c r="E282" s="390"/>
      <c r="F282" s="390"/>
      <c r="G282" s="390"/>
      <c r="H282" s="390"/>
      <c r="I282" s="390"/>
      <c r="J282" s="390"/>
    </row>
    <row r="283" spans="1:10" x14ac:dyDescent="0.2">
      <c r="A283" s="393"/>
      <c r="B283" s="390"/>
      <c r="C283" s="390"/>
      <c r="D283" s="390"/>
      <c r="E283" s="390"/>
      <c r="F283" s="390"/>
      <c r="G283" s="390"/>
      <c r="H283" s="390"/>
      <c r="I283" s="390"/>
      <c r="J283" s="390"/>
    </row>
    <row r="284" spans="1:10" ht="13.5" x14ac:dyDescent="0.25">
      <c r="A284" s="424" t="s">
        <v>606</v>
      </c>
      <c r="B284" s="390"/>
      <c r="C284" s="390"/>
      <c r="D284" s="390"/>
      <c r="E284" s="390">
        <v>50005</v>
      </c>
      <c r="F284" s="390">
        <v>53000</v>
      </c>
      <c r="G284" s="390">
        <v>53000</v>
      </c>
      <c r="H284" s="390">
        <v>53000</v>
      </c>
      <c r="I284" s="390">
        <v>53000</v>
      </c>
      <c r="J284" s="390"/>
    </row>
    <row r="285" spans="1:10" x14ac:dyDescent="0.2">
      <c r="A285" s="393" t="s">
        <v>898</v>
      </c>
      <c r="B285" s="390" t="s">
        <v>418</v>
      </c>
      <c r="C285" s="390"/>
      <c r="D285" s="390">
        <v>51000</v>
      </c>
      <c r="E285" s="390"/>
      <c r="F285" s="390"/>
      <c r="G285" s="390"/>
      <c r="H285" s="390"/>
      <c r="I285" s="390"/>
      <c r="J285" s="390"/>
    </row>
    <row r="286" spans="1:10" x14ac:dyDescent="0.2">
      <c r="A286" s="393" t="s">
        <v>2271</v>
      </c>
      <c r="B286" s="390"/>
      <c r="C286" s="390"/>
      <c r="D286" s="394">
        <v>2000</v>
      </c>
      <c r="E286" s="390"/>
      <c r="F286" s="390"/>
      <c r="G286" s="390"/>
      <c r="H286" s="390"/>
      <c r="I286" s="390"/>
      <c r="J286" s="390"/>
    </row>
    <row r="287" spans="1:10" x14ac:dyDescent="0.2">
      <c r="A287" s="393"/>
      <c r="B287" s="390"/>
      <c r="C287" s="390"/>
      <c r="D287" s="390">
        <f>SUM(D285:D286)</f>
        <v>53000</v>
      </c>
      <c r="E287" s="390"/>
      <c r="F287" s="390"/>
      <c r="G287" s="390"/>
      <c r="H287" s="390"/>
      <c r="I287" s="390"/>
      <c r="J287" s="390"/>
    </row>
    <row r="288" spans="1:10" x14ac:dyDescent="0.2">
      <c r="A288" s="393"/>
      <c r="B288" s="390"/>
      <c r="C288" s="390"/>
      <c r="D288" s="390"/>
      <c r="E288" s="390"/>
      <c r="F288" s="390"/>
      <c r="G288" s="390"/>
      <c r="H288" s="390"/>
      <c r="I288" s="390"/>
      <c r="J288" s="390"/>
    </row>
    <row r="289" spans="1:10" ht="13.5" x14ac:dyDescent="0.25">
      <c r="A289" s="424" t="s">
        <v>1453</v>
      </c>
      <c r="B289" s="390"/>
      <c r="C289" s="390"/>
      <c r="D289" s="390"/>
      <c r="E289" s="390">
        <v>4275</v>
      </c>
      <c r="F289" s="390">
        <v>20000</v>
      </c>
      <c r="G289" s="390">
        <v>20000</v>
      </c>
      <c r="H289" s="390">
        <v>20000</v>
      </c>
      <c r="I289" s="390">
        <v>20000</v>
      </c>
      <c r="J289" s="390"/>
    </row>
    <row r="290" spans="1:10" x14ac:dyDescent="0.2">
      <c r="A290" s="393" t="s">
        <v>1435</v>
      </c>
      <c r="B290" s="390" t="s">
        <v>418</v>
      </c>
      <c r="C290" s="390"/>
      <c r="D290" s="390">
        <v>5000</v>
      </c>
      <c r="E290" s="390"/>
      <c r="F290" s="390"/>
      <c r="G290" s="390"/>
      <c r="H290" s="390"/>
      <c r="I290" s="390"/>
      <c r="J290" s="390"/>
    </row>
    <row r="291" spans="1:10" x14ac:dyDescent="0.2">
      <c r="A291" s="393" t="s">
        <v>1454</v>
      </c>
      <c r="B291" s="390"/>
      <c r="C291" s="390"/>
      <c r="D291" s="394">
        <v>15000</v>
      </c>
      <c r="E291" s="390"/>
      <c r="F291" s="390"/>
      <c r="G291" s="390"/>
      <c r="H291" s="390"/>
      <c r="I291" s="390"/>
      <c r="J291" s="390"/>
    </row>
    <row r="292" spans="1:10" x14ac:dyDescent="0.2">
      <c r="A292" s="393" t="s">
        <v>1320</v>
      </c>
      <c r="B292" s="390"/>
      <c r="C292" s="390"/>
      <c r="D292" s="390">
        <f>SUM(D290:D291)</f>
        <v>20000</v>
      </c>
      <c r="E292" s="390"/>
      <c r="F292" s="390"/>
      <c r="G292" s="390"/>
      <c r="H292" s="390"/>
      <c r="I292" s="390"/>
      <c r="J292" s="390"/>
    </row>
    <row r="293" spans="1:10" x14ac:dyDescent="0.2">
      <c r="A293" s="393"/>
      <c r="B293" s="390"/>
      <c r="C293" s="390" t="s">
        <v>418</v>
      </c>
      <c r="D293" s="390" t="s">
        <v>418</v>
      </c>
      <c r="E293" s="390"/>
      <c r="F293" s="390"/>
      <c r="G293" s="390"/>
      <c r="H293" s="390"/>
      <c r="I293" s="390"/>
      <c r="J293" s="390"/>
    </row>
    <row r="294" spans="1:10" ht="13.5" x14ac:dyDescent="0.25">
      <c r="A294" s="424" t="s">
        <v>1286</v>
      </c>
      <c r="B294" s="390"/>
      <c r="C294" s="390"/>
      <c r="D294" s="390"/>
      <c r="E294" s="390">
        <v>56461</v>
      </c>
      <c r="F294" s="390">
        <v>51870</v>
      </c>
      <c r="G294" s="390">
        <v>53570</v>
      </c>
      <c r="H294" s="390">
        <v>53570</v>
      </c>
      <c r="I294" s="390">
        <v>53570</v>
      </c>
      <c r="J294" s="390"/>
    </row>
    <row r="295" spans="1:10" x14ac:dyDescent="0.2">
      <c r="A295" s="393" t="s">
        <v>131</v>
      </c>
      <c r="B295" s="390"/>
      <c r="C295" s="390"/>
      <c r="D295" s="390">
        <v>500</v>
      </c>
      <c r="E295" s="390"/>
      <c r="F295" s="390"/>
      <c r="G295" s="390"/>
      <c r="H295" s="390"/>
      <c r="I295" s="390"/>
      <c r="J295" s="390"/>
    </row>
    <row r="296" spans="1:10" x14ac:dyDescent="0.2">
      <c r="A296" s="393" t="s">
        <v>820</v>
      </c>
      <c r="B296" s="390"/>
      <c r="C296" s="390"/>
      <c r="D296" s="390">
        <v>14550</v>
      </c>
      <c r="E296" s="390"/>
      <c r="F296" s="390"/>
      <c r="G296" s="390"/>
      <c r="H296" s="390"/>
      <c r="I296" s="390"/>
      <c r="J296" s="390"/>
    </row>
    <row r="297" spans="1:10" x14ac:dyDescent="0.2">
      <c r="A297" s="393" t="s">
        <v>2480</v>
      </c>
      <c r="B297" s="390"/>
      <c r="C297" s="390"/>
      <c r="D297" s="390">
        <v>2760</v>
      </c>
      <c r="E297" s="390"/>
      <c r="F297" s="390"/>
      <c r="G297" s="390"/>
      <c r="H297" s="390"/>
      <c r="I297" s="390"/>
      <c r="J297" s="390"/>
    </row>
    <row r="298" spans="1:10" x14ac:dyDescent="0.2">
      <c r="A298" s="393" t="s">
        <v>1164</v>
      </c>
      <c r="B298" s="390"/>
      <c r="C298" s="390"/>
      <c r="D298" s="390" t="s">
        <v>418</v>
      </c>
      <c r="E298" s="390"/>
      <c r="F298" s="390"/>
      <c r="G298" s="390"/>
      <c r="H298" s="390"/>
      <c r="I298" s="390"/>
      <c r="J298" s="390"/>
    </row>
    <row r="299" spans="1:10" x14ac:dyDescent="0.2">
      <c r="A299" s="393" t="s">
        <v>208</v>
      </c>
      <c r="B299" s="390"/>
      <c r="C299" s="390"/>
      <c r="D299" s="390">
        <v>1510</v>
      </c>
      <c r="E299" s="390"/>
      <c r="F299" s="390"/>
      <c r="G299" s="390"/>
      <c r="H299" s="390"/>
      <c r="I299" s="390"/>
      <c r="J299" s="390"/>
    </row>
    <row r="300" spans="1:10" x14ac:dyDescent="0.2">
      <c r="A300" s="393" t="s">
        <v>132</v>
      </c>
      <c r="B300" s="390"/>
      <c r="C300" s="390"/>
      <c r="D300" s="390">
        <f>6500*1.1</f>
        <v>7150.0000000000009</v>
      </c>
      <c r="E300" s="390"/>
      <c r="F300" s="390"/>
      <c r="G300" s="390"/>
      <c r="H300" s="390"/>
      <c r="I300" s="390"/>
      <c r="J300" s="390"/>
    </row>
    <row r="301" spans="1:10" x14ac:dyDescent="0.2">
      <c r="A301" s="393" t="s">
        <v>69</v>
      </c>
      <c r="B301" s="390"/>
      <c r="C301" s="390"/>
      <c r="D301" s="390">
        <f>8500*1.1</f>
        <v>9350</v>
      </c>
      <c r="E301" s="390"/>
      <c r="F301" s="390"/>
      <c r="G301" s="390"/>
      <c r="H301" s="390"/>
      <c r="I301" s="390"/>
      <c r="J301" s="390"/>
    </row>
    <row r="302" spans="1:10" x14ac:dyDescent="0.2">
      <c r="A302" s="393" t="s">
        <v>137</v>
      </c>
      <c r="B302" s="390"/>
      <c r="C302" s="390"/>
      <c r="D302" s="390">
        <v>3000</v>
      </c>
      <c r="E302" s="390"/>
      <c r="F302" s="390"/>
      <c r="G302" s="390"/>
      <c r="H302" s="390"/>
      <c r="I302" s="390"/>
      <c r="J302" s="390"/>
    </row>
    <row r="303" spans="1:10" x14ac:dyDescent="0.2">
      <c r="A303" s="393" t="s">
        <v>209</v>
      </c>
      <c r="B303" s="390"/>
      <c r="C303" s="390"/>
      <c r="D303" s="390">
        <f>2000*1.1</f>
        <v>2200</v>
      </c>
      <c r="E303" s="390"/>
      <c r="F303" s="390"/>
      <c r="G303" s="390"/>
      <c r="H303" s="390"/>
      <c r="I303" s="390"/>
      <c r="J303" s="390"/>
    </row>
    <row r="304" spans="1:10" x14ac:dyDescent="0.2">
      <c r="A304" s="393" t="s">
        <v>210</v>
      </c>
      <c r="B304" s="390"/>
      <c r="C304" s="390"/>
      <c r="D304" s="390">
        <v>7750</v>
      </c>
      <c r="E304" s="390"/>
      <c r="F304" s="390"/>
      <c r="G304" s="390"/>
      <c r="H304" s="390"/>
      <c r="I304" s="390"/>
      <c r="J304" s="390"/>
    </row>
    <row r="305" spans="1:10" x14ac:dyDescent="0.2">
      <c r="A305" s="393" t="s">
        <v>211</v>
      </c>
      <c r="B305" s="390"/>
      <c r="C305" s="390"/>
      <c r="D305" s="390">
        <v>300</v>
      </c>
      <c r="E305" s="390"/>
      <c r="F305" s="390"/>
      <c r="G305" s="390"/>
      <c r="H305" s="390"/>
      <c r="I305" s="390"/>
      <c r="J305" s="390"/>
    </row>
    <row r="306" spans="1:10" x14ac:dyDescent="0.2">
      <c r="A306" s="393" t="s">
        <v>1842</v>
      </c>
      <c r="B306" s="390"/>
      <c r="C306" s="390"/>
      <c r="D306" s="390">
        <v>1000</v>
      </c>
      <c r="E306" s="390"/>
      <c r="F306" s="390"/>
      <c r="G306" s="390"/>
      <c r="H306" s="390"/>
      <c r="I306" s="390"/>
      <c r="J306" s="390"/>
    </row>
    <row r="307" spans="1:10" x14ac:dyDescent="0.2">
      <c r="A307" s="393" t="s">
        <v>1975</v>
      </c>
      <c r="B307" s="390"/>
      <c r="C307" s="390"/>
      <c r="D307" s="390">
        <v>3500</v>
      </c>
      <c r="E307" s="390"/>
      <c r="F307" s="390"/>
      <c r="G307" s="390"/>
      <c r="H307" s="390"/>
      <c r="I307" s="390"/>
      <c r="J307" s="390"/>
    </row>
    <row r="308" spans="1:10" s="364" customFormat="1" x14ac:dyDescent="0.2">
      <c r="A308" s="393" t="s">
        <v>2489</v>
      </c>
      <c r="B308" s="390"/>
      <c r="C308" s="390"/>
      <c r="D308" s="554"/>
      <c r="E308" s="390"/>
      <c r="F308" s="390"/>
      <c r="G308" s="390"/>
      <c r="H308" s="390"/>
      <c r="I308" s="390"/>
      <c r="J308" s="390"/>
    </row>
    <row r="309" spans="1:10" s="364" customFormat="1" x14ac:dyDescent="0.2">
      <c r="A309" s="393" t="s">
        <v>1320</v>
      </c>
      <c r="B309" s="390"/>
      <c r="C309" s="390"/>
      <c r="D309" s="390">
        <f>SUM(D295:D307)</f>
        <v>53570</v>
      </c>
      <c r="E309" s="390"/>
      <c r="F309" s="390"/>
      <c r="G309" s="390"/>
      <c r="H309" s="390"/>
      <c r="I309" s="390"/>
      <c r="J309" s="390"/>
    </row>
    <row r="310" spans="1:10" s="364" customFormat="1" x14ac:dyDescent="0.2">
      <c r="A310" s="393"/>
      <c r="B310" s="390"/>
      <c r="C310" s="390"/>
      <c r="D310" s="390"/>
      <c r="E310" s="390"/>
      <c r="F310" s="390"/>
      <c r="G310" s="390"/>
      <c r="H310" s="390"/>
      <c r="I310" s="390"/>
      <c r="J310" s="390"/>
    </row>
    <row r="311" spans="1:10" ht="13.5" x14ac:dyDescent="0.25">
      <c r="A311" s="424" t="s">
        <v>880</v>
      </c>
      <c r="B311" s="390"/>
      <c r="C311" s="390" t="s">
        <v>418</v>
      </c>
      <c r="D311" s="390" t="s">
        <v>418</v>
      </c>
      <c r="E311" s="390">
        <v>2500</v>
      </c>
      <c r="F311" s="390">
        <v>12000</v>
      </c>
      <c r="G311" s="390">
        <v>12000</v>
      </c>
      <c r="H311" s="390">
        <v>12000</v>
      </c>
      <c r="I311" s="390">
        <v>12000</v>
      </c>
      <c r="J311" s="390"/>
    </row>
    <row r="312" spans="1:10" x14ac:dyDescent="0.2">
      <c r="A312" s="393" t="s">
        <v>1438</v>
      </c>
      <c r="B312" s="390"/>
      <c r="C312" s="390"/>
      <c r="D312" s="390">
        <v>12000</v>
      </c>
      <c r="E312" s="390"/>
      <c r="F312" s="390"/>
      <c r="G312" s="390"/>
      <c r="H312" s="390"/>
      <c r="I312" s="390"/>
      <c r="J312" s="390"/>
    </row>
    <row r="313" spans="1:10" x14ac:dyDescent="0.2">
      <c r="A313" s="393"/>
      <c r="B313" s="390"/>
      <c r="C313" s="390"/>
      <c r="D313" s="390"/>
      <c r="E313" s="390"/>
      <c r="F313" s="390"/>
      <c r="G313" s="390"/>
      <c r="H313" s="390"/>
      <c r="I313" s="390"/>
      <c r="J313" s="390"/>
    </row>
    <row r="314" spans="1:10" ht="13.5" x14ac:dyDescent="0.25">
      <c r="A314" s="424" t="s">
        <v>459</v>
      </c>
      <c r="B314" s="390"/>
      <c r="C314" s="390"/>
      <c r="D314" s="390"/>
      <c r="E314" s="390">
        <v>0</v>
      </c>
      <c r="F314" s="390">
        <v>4000</v>
      </c>
      <c r="G314" s="390">
        <v>4000</v>
      </c>
      <c r="H314" s="390">
        <v>4000</v>
      </c>
      <c r="I314" s="390">
        <v>4000</v>
      </c>
      <c r="J314" s="390"/>
    </row>
    <row r="315" spans="1:10" x14ac:dyDescent="0.2">
      <c r="A315" s="393" t="s">
        <v>1287</v>
      </c>
      <c r="B315" s="390"/>
      <c r="C315" s="390"/>
      <c r="D315" s="390"/>
      <c r="E315" s="390"/>
      <c r="F315" s="390"/>
      <c r="G315" s="390"/>
      <c r="H315" s="390"/>
      <c r="I315" s="390"/>
      <c r="J315" s="390"/>
    </row>
    <row r="316" spans="1:10" x14ac:dyDescent="0.2">
      <c r="A316" s="393" t="s">
        <v>1288</v>
      </c>
      <c r="B316" s="390"/>
      <c r="C316" s="390"/>
      <c r="D316" s="390">
        <v>4000</v>
      </c>
      <c r="E316" s="390"/>
      <c r="F316" s="390"/>
      <c r="G316" s="390"/>
      <c r="H316" s="390"/>
      <c r="I316" s="390"/>
      <c r="J316" s="390"/>
    </row>
    <row r="317" spans="1:10" x14ac:dyDescent="0.2">
      <c r="A317" s="393"/>
      <c r="B317" s="390"/>
      <c r="C317" s="390"/>
      <c r="D317" s="390"/>
      <c r="E317" s="390"/>
      <c r="F317" s="390"/>
      <c r="G317" s="390"/>
      <c r="H317" s="390"/>
      <c r="I317" s="390"/>
      <c r="J317" s="390"/>
    </row>
    <row r="318" spans="1:10" ht="13.5" x14ac:dyDescent="0.25">
      <c r="A318" s="424" t="s">
        <v>2292</v>
      </c>
      <c r="B318" s="390"/>
      <c r="C318" s="390" t="s">
        <v>418</v>
      </c>
      <c r="D318" s="390" t="s">
        <v>418</v>
      </c>
      <c r="E318" s="390">
        <v>0</v>
      </c>
      <c r="F318" s="390">
        <v>0</v>
      </c>
      <c r="G318" s="390">
        <v>1000</v>
      </c>
      <c r="H318" s="390">
        <v>1000</v>
      </c>
      <c r="I318" s="390">
        <v>1000</v>
      </c>
      <c r="J318" s="390"/>
    </row>
    <row r="319" spans="1:10" x14ac:dyDescent="0.2">
      <c r="A319" s="393"/>
      <c r="B319" s="390"/>
      <c r="C319" s="390"/>
      <c r="D319" s="390">
        <v>1000</v>
      </c>
      <c r="E319" s="390"/>
      <c r="F319" s="390"/>
      <c r="G319" s="390"/>
      <c r="H319" s="390"/>
      <c r="I319" s="390"/>
      <c r="J319" s="390"/>
    </row>
    <row r="320" spans="1:10" x14ac:dyDescent="0.2">
      <c r="A320" s="393"/>
      <c r="B320" s="390"/>
      <c r="C320" s="390"/>
      <c r="D320" s="390"/>
      <c r="E320" s="390"/>
      <c r="F320" s="390"/>
      <c r="G320" s="390"/>
      <c r="H320" s="390"/>
      <c r="I320" s="390"/>
      <c r="J320" s="390"/>
    </row>
    <row r="321" spans="1:10" ht="13.5" x14ac:dyDescent="0.25">
      <c r="A321" s="424" t="s">
        <v>272</v>
      </c>
      <c r="B321" s="390"/>
      <c r="C321" s="390"/>
      <c r="D321" s="390"/>
      <c r="E321" s="390">
        <v>1302</v>
      </c>
      <c r="F321" s="390">
        <v>4000</v>
      </c>
      <c r="G321" s="390">
        <v>4000</v>
      </c>
      <c r="H321" s="390">
        <v>4000</v>
      </c>
      <c r="I321" s="390">
        <v>4000</v>
      </c>
      <c r="J321" s="390"/>
    </row>
    <row r="322" spans="1:10" x14ac:dyDescent="0.2">
      <c r="A322" s="393" t="s">
        <v>1737</v>
      </c>
      <c r="B322" s="390"/>
      <c r="C322" s="390"/>
      <c r="D322" s="390">
        <v>4000</v>
      </c>
      <c r="E322" s="390"/>
      <c r="F322" s="390"/>
      <c r="G322" s="390"/>
      <c r="H322" s="390"/>
      <c r="I322" s="390"/>
      <c r="J322" s="390"/>
    </row>
    <row r="323" spans="1:10" x14ac:dyDescent="0.2">
      <c r="A323" s="393" t="s">
        <v>1800</v>
      </c>
      <c r="B323" s="390"/>
      <c r="C323" s="390"/>
      <c r="D323" s="390"/>
      <c r="E323" s="390"/>
      <c r="F323" s="390"/>
      <c r="G323" s="390"/>
      <c r="H323" s="390"/>
      <c r="I323" s="390"/>
      <c r="J323" s="390"/>
    </row>
    <row r="324" spans="1:10" x14ac:dyDescent="0.2">
      <c r="A324" s="393"/>
      <c r="B324" s="390"/>
      <c r="C324" s="390"/>
      <c r="D324" s="390"/>
      <c r="E324" s="390"/>
      <c r="F324" s="390"/>
      <c r="G324" s="390"/>
      <c r="H324" s="390"/>
      <c r="I324" s="390"/>
      <c r="J324" s="390"/>
    </row>
    <row r="325" spans="1:10" ht="13.5" x14ac:dyDescent="0.25">
      <c r="A325" s="424" t="s">
        <v>696</v>
      </c>
      <c r="B325" s="390"/>
      <c r="C325" s="390"/>
      <c r="D325" s="390" t="s">
        <v>418</v>
      </c>
      <c r="E325" s="390">
        <v>0</v>
      </c>
      <c r="F325" s="390">
        <v>0</v>
      </c>
      <c r="G325" s="390">
        <v>1462000</v>
      </c>
      <c r="H325" s="390">
        <v>1437000</v>
      </c>
      <c r="I325" s="390">
        <v>1437000</v>
      </c>
      <c r="J325" s="390"/>
    </row>
    <row r="326" spans="1:10" x14ac:dyDescent="0.2">
      <c r="A326" s="393" t="s">
        <v>2571</v>
      </c>
      <c r="B326" s="390"/>
      <c r="C326" s="390"/>
      <c r="D326" s="390">
        <v>12000</v>
      </c>
      <c r="E326" s="390"/>
      <c r="F326" s="390"/>
      <c r="G326" s="390"/>
      <c r="H326" s="390"/>
      <c r="I326" s="390"/>
      <c r="J326" s="390"/>
    </row>
    <row r="327" spans="1:10" x14ac:dyDescent="0.2">
      <c r="A327" s="393" t="s">
        <v>2572</v>
      </c>
      <c r="B327" s="390"/>
      <c r="C327" s="390"/>
      <c r="D327" s="390">
        <v>1400000</v>
      </c>
      <c r="E327" s="390"/>
      <c r="F327" s="390"/>
      <c r="G327" s="390"/>
      <c r="H327" s="390"/>
      <c r="I327" s="390"/>
      <c r="J327" s="390"/>
    </row>
    <row r="328" spans="1:10" x14ac:dyDescent="0.2">
      <c r="A328" s="393" t="s">
        <v>2573</v>
      </c>
      <c r="B328" s="390"/>
      <c r="C328" s="390"/>
      <c r="D328" s="390">
        <v>25000</v>
      </c>
      <c r="E328" s="390"/>
      <c r="F328" s="390"/>
      <c r="G328" s="390"/>
      <c r="H328" s="390"/>
      <c r="I328" s="390"/>
      <c r="J328" s="390"/>
    </row>
    <row r="329" spans="1:10" x14ac:dyDescent="0.2">
      <c r="A329" s="393" t="s">
        <v>2130</v>
      </c>
      <c r="B329" s="390"/>
      <c r="C329" s="390"/>
      <c r="D329" s="394">
        <v>0</v>
      </c>
      <c r="E329" s="390"/>
      <c r="F329" s="390"/>
      <c r="G329" s="390"/>
      <c r="H329" s="390"/>
      <c r="I329" s="390"/>
      <c r="J329" s="390"/>
    </row>
    <row r="330" spans="1:10" x14ac:dyDescent="0.2">
      <c r="A330" s="393"/>
      <c r="B330" s="390"/>
      <c r="C330" s="390"/>
      <c r="D330" s="390">
        <f>SUM(D326:D329)</f>
        <v>1437000</v>
      </c>
      <c r="E330" s="390"/>
      <c r="F330" s="390"/>
      <c r="G330" s="390"/>
      <c r="H330" s="390"/>
      <c r="I330" s="390"/>
      <c r="J330" s="390"/>
    </row>
    <row r="331" spans="1:10" s="364" customFormat="1" x14ac:dyDescent="0.2">
      <c r="A331" s="393"/>
      <c r="B331" s="390"/>
      <c r="C331" s="390"/>
      <c r="D331" s="390"/>
      <c r="E331" s="390"/>
      <c r="F331" s="390"/>
      <c r="G331" s="390"/>
      <c r="H331" s="390"/>
      <c r="I331" s="390"/>
      <c r="J331" s="390"/>
    </row>
    <row r="332" spans="1:10" s="364" customFormat="1" ht="13.5" x14ac:dyDescent="0.25">
      <c r="A332" s="424" t="s">
        <v>1763</v>
      </c>
      <c r="B332" s="390"/>
      <c r="C332" s="390"/>
      <c r="D332" s="390"/>
      <c r="E332" s="390">
        <v>599</v>
      </c>
      <c r="F332" s="390">
        <v>0</v>
      </c>
      <c r="G332" s="390">
        <v>0</v>
      </c>
      <c r="H332" s="390">
        <v>0</v>
      </c>
      <c r="I332" s="390">
        <v>0</v>
      </c>
      <c r="J332" s="390"/>
    </row>
    <row r="333" spans="1:10" s="364" customFormat="1" hidden="1" x14ac:dyDescent="0.2">
      <c r="A333" s="393"/>
      <c r="B333" s="390"/>
      <c r="C333" s="390"/>
      <c r="D333" s="390">
        <v>0</v>
      </c>
      <c r="E333" s="390"/>
      <c r="F333" s="390"/>
      <c r="G333" s="390"/>
      <c r="H333" s="390"/>
      <c r="I333" s="390"/>
      <c r="J333" s="390"/>
    </row>
    <row r="334" spans="1:10" s="364" customFormat="1" hidden="1" x14ac:dyDescent="0.2">
      <c r="A334" s="393"/>
      <c r="B334" s="390"/>
      <c r="C334" s="390"/>
      <c r="D334" s="390">
        <f>SUM(D333:D333)</f>
        <v>0</v>
      </c>
      <c r="E334" s="390"/>
      <c r="F334" s="390"/>
      <c r="G334" s="390"/>
      <c r="H334" s="390"/>
      <c r="I334" s="390"/>
      <c r="J334" s="390"/>
    </row>
    <row r="335" spans="1:10" x14ac:dyDescent="0.2">
      <c r="A335" s="393"/>
      <c r="B335" s="390"/>
      <c r="C335" s="390"/>
      <c r="D335" s="390"/>
      <c r="E335" s="390"/>
      <c r="F335" s="390"/>
      <c r="G335" s="390"/>
      <c r="H335" s="390"/>
      <c r="I335" s="390"/>
      <c r="J335" s="390"/>
    </row>
    <row r="336" spans="1:10" ht="13.5" x14ac:dyDescent="0.25">
      <c r="A336" s="424" t="s">
        <v>1746</v>
      </c>
      <c r="B336" s="390"/>
      <c r="C336" s="390"/>
      <c r="D336" s="390" t="s">
        <v>418</v>
      </c>
      <c r="E336" s="390">
        <v>1654579</v>
      </c>
      <c r="F336" s="390">
        <v>1160000</v>
      </c>
      <c r="G336" s="390">
        <v>2135000</v>
      </c>
      <c r="H336" s="390">
        <v>1960000</v>
      </c>
      <c r="I336" s="390">
        <v>1960000</v>
      </c>
      <c r="J336" s="390"/>
    </row>
    <row r="337" spans="1:10" x14ac:dyDescent="0.2">
      <c r="A337" s="393" t="s">
        <v>221</v>
      </c>
      <c r="B337" s="390"/>
      <c r="C337" s="390"/>
      <c r="D337" s="390">
        <v>1825000</v>
      </c>
      <c r="E337" s="390"/>
      <c r="F337" s="390"/>
      <c r="G337" s="390"/>
      <c r="H337" s="390"/>
      <c r="I337" s="390"/>
      <c r="J337" s="390"/>
    </row>
    <row r="338" spans="1:10" x14ac:dyDescent="0.2">
      <c r="A338" s="393" t="s">
        <v>59</v>
      </c>
      <c r="B338" s="390"/>
      <c r="C338" s="390"/>
      <c r="D338" s="394">
        <v>135000</v>
      </c>
      <c r="E338" s="390"/>
      <c r="F338" s="390"/>
      <c r="G338" s="390"/>
      <c r="H338" s="390"/>
      <c r="I338" s="390"/>
      <c r="J338" s="390"/>
    </row>
    <row r="339" spans="1:10" x14ac:dyDescent="0.2">
      <c r="A339" s="393" t="s">
        <v>1320</v>
      </c>
      <c r="B339" s="390"/>
      <c r="C339" s="390"/>
      <c r="D339" s="390">
        <f>SUM(D337:D338)</f>
        <v>1960000</v>
      </c>
      <c r="E339" s="390"/>
      <c r="F339" s="390"/>
      <c r="G339" s="390"/>
      <c r="H339" s="390"/>
      <c r="I339" s="390"/>
      <c r="J339" s="390"/>
    </row>
    <row r="340" spans="1:10" hidden="1" x14ac:dyDescent="0.2">
      <c r="A340" s="393"/>
      <c r="B340" s="390"/>
      <c r="C340" s="390"/>
      <c r="D340" s="390"/>
      <c r="E340" s="390"/>
      <c r="F340" s="390"/>
      <c r="G340" s="390"/>
      <c r="H340" s="390"/>
      <c r="I340" s="390"/>
      <c r="J340" s="390"/>
    </row>
    <row r="341" spans="1:10" x14ac:dyDescent="0.2">
      <c r="A341" s="393"/>
      <c r="B341" s="390"/>
      <c r="C341" s="390"/>
      <c r="D341" s="390"/>
      <c r="E341" s="390"/>
      <c r="F341" s="390"/>
      <c r="G341" s="390"/>
      <c r="H341" s="390"/>
      <c r="I341" s="390"/>
      <c r="J341" s="390"/>
    </row>
    <row r="342" spans="1:10" ht="13.5" x14ac:dyDescent="0.25">
      <c r="A342" s="424" t="s">
        <v>2293</v>
      </c>
      <c r="B342" s="390"/>
      <c r="C342" s="390"/>
      <c r="D342" s="390"/>
      <c r="E342" s="390">
        <v>0</v>
      </c>
      <c r="F342" s="390">
        <v>28000</v>
      </c>
      <c r="G342" s="390">
        <v>0</v>
      </c>
      <c r="H342" s="390">
        <v>0</v>
      </c>
      <c r="I342" s="390">
        <v>0</v>
      </c>
      <c r="J342" s="390"/>
    </row>
    <row r="343" spans="1:10" s="415" customFormat="1" x14ac:dyDescent="0.2">
      <c r="A343" s="393" t="s">
        <v>2574</v>
      </c>
      <c r="B343" s="390"/>
      <c r="C343" s="390"/>
      <c r="D343" s="394"/>
      <c r="E343" s="390"/>
      <c r="F343" s="390"/>
      <c r="G343" s="390"/>
      <c r="H343" s="390"/>
      <c r="I343" s="390"/>
      <c r="J343" s="390"/>
    </row>
    <row r="344" spans="1:10" s="415" customFormat="1" x14ac:dyDescent="0.2">
      <c r="A344" s="393" t="s">
        <v>630</v>
      </c>
      <c r="B344" s="390"/>
      <c r="C344" s="390"/>
      <c r="D344" s="390">
        <f>SUM(D343)</f>
        <v>0</v>
      </c>
      <c r="E344" s="390"/>
      <c r="F344" s="390"/>
      <c r="G344" s="390"/>
      <c r="H344" s="390"/>
      <c r="I344" s="390"/>
      <c r="J344" s="390"/>
    </row>
    <row r="345" spans="1:10" s="415" customFormat="1" x14ac:dyDescent="0.2">
      <c r="A345" s="393"/>
      <c r="B345" s="390"/>
      <c r="C345" s="390"/>
      <c r="D345" s="390"/>
      <c r="E345" s="390"/>
      <c r="F345" s="390"/>
      <c r="G345" s="390"/>
      <c r="H345" s="390"/>
      <c r="I345" s="390"/>
      <c r="J345" s="390"/>
    </row>
    <row r="346" spans="1:10" s="415" customFormat="1" ht="13.5" x14ac:dyDescent="0.25">
      <c r="A346" s="424" t="s">
        <v>857</v>
      </c>
      <c r="B346" s="390"/>
      <c r="C346" s="390"/>
      <c r="D346" s="390"/>
      <c r="E346" s="390">
        <v>66695</v>
      </c>
      <c r="F346" s="390">
        <v>0</v>
      </c>
      <c r="G346" s="390">
        <v>7500</v>
      </c>
      <c r="H346" s="390">
        <v>7500</v>
      </c>
      <c r="I346" s="390">
        <v>7500</v>
      </c>
      <c r="J346" s="390"/>
    </row>
    <row r="347" spans="1:10" s="415" customFormat="1" x14ac:dyDescent="0.2">
      <c r="A347" s="393" t="s">
        <v>2575</v>
      </c>
      <c r="B347" s="390"/>
      <c r="C347" s="390"/>
      <c r="D347" s="390">
        <v>7500</v>
      </c>
      <c r="E347" s="390"/>
      <c r="F347" s="390"/>
      <c r="G347" s="390"/>
      <c r="H347" s="390"/>
      <c r="I347" s="390"/>
      <c r="J347" s="390"/>
    </row>
    <row r="348" spans="1:10" s="415" customFormat="1" x14ac:dyDescent="0.2">
      <c r="A348" s="393" t="s">
        <v>2131</v>
      </c>
      <c r="B348" s="390"/>
      <c r="C348" s="390"/>
      <c r="D348" s="394">
        <v>0</v>
      </c>
      <c r="E348" s="390"/>
      <c r="F348" s="3"/>
      <c r="G348" s="390"/>
      <c r="H348" s="390"/>
      <c r="I348" s="390"/>
      <c r="J348" s="390"/>
    </row>
    <row r="349" spans="1:10" x14ac:dyDescent="0.2">
      <c r="A349" s="393"/>
      <c r="B349" s="390"/>
      <c r="C349" s="390"/>
      <c r="D349" s="390">
        <f>SUM(D347:D348)</f>
        <v>7500</v>
      </c>
      <c r="E349" s="390"/>
      <c r="F349" s="3"/>
      <c r="G349" s="390"/>
      <c r="H349" s="390"/>
      <c r="I349" s="390"/>
      <c r="J349" s="390"/>
    </row>
    <row r="350" spans="1:10" x14ac:dyDescent="0.2">
      <c r="A350" s="393"/>
      <c r="B350" s="390"/>
      <c r="C350" s="390"/>
      <c r="D350" s="390"/>
      <c r="E350" s="390"/>
      <c r="F350" s="3"/>
      <c r="G350" s="390"/>
      <c r="H350" s="390"/>
      <c r="I350" s="390"/>
      <c r="J350" s="390"/>
    </row>
    <row r="351" spans="1:10" ht="15" x14ac:dyDescent="0.35">
      <c r="A351" s="455" t="s">
        <v>858</v>
      </c>
      <c r="B351" s="454" t="s">
        <v>2163</v>
      </c>
      <c r="C351" s="454" t="s">
        <v>2290</v>
      </c>
      <c r="D351" s="454" t="s">
        <v>2507</v>
      </c>
      <c r="E351" s="390"/>
      <c r="F351" s="3"/>
      <c r="G351" s="390"/>
      <c r="H351" s="390"/>
      <c r="I351" s="390"/>
      <c r="J351" s="390"/>
    </row>
    <row r="352" spans="1:10" s="453" customFormat="1" x14ac:dyDescent="0.2">
      <c r="A352" s="453" t="s">
        <v>1158</v>
      </c>
      <c r="B352" s="3">
        <v>400000</v>
      </c>
      <c r="C352" s="3">
        <v>425000</v>
      </c>
      <c r="D352" s="3">
        <v>425000</v>
      </c>
      <c r="E352" s="390"/>
      <c r="F352" s="3"/>
      <c r="G352" s="390"/>
      <c r="H352" s="390"/>
      <c r="I352" s="390"/>
      <c r="J352" s="390"/>
    </row>
    <row r="353" spans="1:11" s="453" customFormat="1" x14ac:dyDescent="0.2">
      <c r="A353" s="453" t="s">
        <v>1738</v>
      </c>
      <c r="B353" s="3">
        <v>5000</v>
      </c>
      <c r="C353" s="3">
        <v>5000</v>
      </c>
      <c r="D353" s="3">
        <v>5000</v>
      </c>
      <c r="E353" s="390"/>
      <c r="F353" s="3"/>
      <c r="G353" s="390"/>
      <c r="H353" s="390"/>
      <c r="I353" s="390"/>
      <c r="J353" s="390"/>
    </row>
    <row r="354" spans="1:11" s="453" customFormat="1" x14ac:dyDescent="0.2">
      <c r="A354" s="453" t="s">
        <v>878</v>
      </c>
      <c r="B354" s="3">
        <v>50000</v>
      </c>
      <c r="C354" s="3">
        <v>50000</v>
      </c>
      <c r="D354" s="3">
        <v>50000</v>
      </c>
      <c r="E354" s="390"/>
      <c r="F354" s="3"/>
      <c r="G354" s="390"/>
      <c r="H354" s="390"/>
      <c r="I354" s="390"/>
      <c r="J354" s="390"/>
    </row>
    <row r="355" spans="1:11" s="453" customFormat="1" x14ac:dyDescent="0.2">
      <c r="A355" s="453" t="s">
        <v>1747</v>
      </c>
      <c r="B355" s="21">
        <v>545000</v>
      </c>
      <c r="C355" s="21">
        <v>595000</v>
      </c>
      <c r="D355" s="21">
        <v>595000</v>
      </c>
      <c r="E355" s="390"/>
      <c r="F355" s="3"/>
      <c r="G355" s="390"/>
      <c r="H355" s="390"/>
      <c r="I355" s="390"/>
      <c r="J355" s="390"/>
    </row>
    <row r="356" spans="1:11" s="453" customFormat="1" x14ac:dyDescent="0.2">
      <c r="A356" s="453" t="s">
        <v>1320</v>
      </c>
      <c r="B356" s="3">
        <f>SUM(B352:B355)</f>
        <v>1000000</v>
      </c>
      <c r="C356" s="3">
        <f t="shared" ref="C356:D356" si="3">SUM(C352:C355)</f>
        <v>1075000</v>
      </c>
      <c r="D356" s="3">
        <f t="shared" si="3"/>
        <v>1075000</v>
      </c>
      <c r="E356" s="394">
        <v>1000000</v>
      </c>
      <c r="F356" s="394">
        <v>1075000</v>
      </c>
      <c r="G356" s="394">
        <v>1075000</v>
      </c>
      <c r="H356" s="394">
        <v>1075000</v>
      </c>
      <c r="I356" s="394">
        <v>1075000</v>
      </c>
      <c r="J356" s="394"/>
    </row>
    <row r="357" spans="1:11" ht="15" x14ac:dyDescent="0.35">
      <c r="A357" s="416"/>
      <c r="B357" s="416"/>
      <c r="C357" s="14"/>
      <c r="D357" s="3"/>
      <c r="E357" s="416"/>
      <c r="F357" s="416"/>
      <c r="G357" s="416"/>
      <c r="H357" s="475"/>
      <c r="I357" s="416"/>
      <c r="J357" s="416"/>
    </row>
    <row r="358" spans="1:11" x14ac:dyDescent="0.2">
      <c r="A358" s="23" t="s">
        <v>1405</v>
      </c>
      <c r="B358" s="416"/>
      <c r="C358" s="3"/>
      <c r="D358" s="71"/>
      <c r="E358" s="3">
        <f t="shared" ref="E358:J358" si="4">SUM(E6:E356)</f>
        <v>5422514</v>
      </c>
      <c r="F358" s="3">
        <f t="shared" si="4"/>
        <v>5316030</v>
      </c>
      <c r="G358" s="3">
        <f t="shared" si="4"/>
        <v>7902377</v>
      </c>
      <c r="H358" s="3">
        <f t="shared" si="4"/>
        <v>7640215</v>
      </c>
      <c r="I358" s="3">
        <f t="shared" si="4"/>
        <v>7644437</v>
      </c>
      <c r="J358" s="3">
        <f t="shared" si="4"/>
        <v>0</v>
      </c>
    </row>
    <row r="359" spans="1:11" x14ac:dyDescent="0.2">
      <c r="A359" s="23"/>
      <c r="B359" s="416"/>
      <c r="C359" s="3"/>
      <c r="D359" s="71"/>
      <c r="E359" s="3"/>
      <c r="F359" s="3"/>
      <c r="G359" s="3"/>
      <c r="H359" s="3"/>
      <c r="I359" s="3"/>
      <c r="J359" s="3"/>
    </row>
    <row r="360" spans="1:11" x14ac:dyDescent="0.2">
      <c r="A360" s="416" t="s">
        <v>628</v>
      </c>
      <c r="B360" s="416"/>
      <c r="C360" s="71"/>
      <c r="D360" s="71"/>
      <c r="E360" s="3">
        <f t="shared" ref="E360:H360" si="5">SUM(E6:E115)</f>
        <v>1890324</v>
      </c>
      <c r="F360" s="3">
        <f t="shared" si="5"/>
        <v>2155426</v>
      </c>
      <c r="G360" s="3">
        <f t="shared" si="5"/>
        <v>2189086</v>
      </c>
      <c r="H360" s="3">
        <f t="shared" si="5"/>
        <v>2176924</v>
      </c>
      <c r="I360" s="3">
        <f>SUM(I6:I115)</f>
        <v>2181146</v>
      </c>
      <c r="J360" s="3">
        <f>SUM(J6:J115)</f>
        <v>0</v>
      </c>
      <c r="K360" s="3">
        <f>+G360-F360</f>
        <v>33660</v>
      </c>
    </row>
    <row r="361" spans="1:11" x14ac:dyDescent="0.2">
      <c r="A361" s="416" t="s">
        <v>1024</v>
      </c>
      <c r="B361" s="416"/>
      <c r="C361" s="71"/>
      <c r="D361" s="71"/>
      <c r="E361" s="3">
        <f>SUM(E116:E313)</f>
        <v>809015</v>
      </c>
      <c r="F361" s="3">
        <f>SUM(F116:F315)</f>
        <v>893604</v>
      </c>
      <c r="G361" s="3">
        <f>SUM(G116:G316)</f>
        <v>1028791</v>
      </c>
      <c r="H361" s="3">
        <f>SUM(H116:H316)</f>
        <v>978791</v>
      </c>
      <c r="I361" s="3">
        <f>SUM(I116:I322)</f>
        <v>983791</v>
      </c>
      <c r="J361" s="3">
        <f>SUM(J116:J322)</f>
        <v>0</v>
      </c>
      <c r="K361" s="3">
        <f>+G361-F361</f>
        <v>135187</v>
      </c>
    </row>
    <row r="362" spans="1:11" ht="15" x14ac:dyDescent="0.35">
      <c r="A362" s="416" t="s">
        <v>1025</v>
      </c>
      <c r="B362" s="416"/>
      <c r="C362" s="416"/>
      <c r="D362" s="416"/>
      <c r="E362" s="14">
        <f>SUM(E315:E356)</f>
        <v>2723175</v>
      </c>
      <c r="F362" s="14">
        <f>SUM(F315:F356)</f>
        <v>2267000</v>
      </c>
      <c r="G362" s="14">
        <f>SUM(G315:G357)</f>
        <v>4684500</v>
      </c>
      <c r="H362" s="14">
        <f>SUM(H315:H357)</f>
        <v>4484500</v>
      </c>
      <c r="I362" s="14">
        <f>SUM(I325:I356)</f>
        <v>4479500</v>
      </c>
      <c r="J362" s="14">
        <f>SUM(J324:J356)</f>
        <v>0</v>
      </c>
      <c r="K362" s="3">
        <f>+G362-F362</f>
        <v>2417500</v>
      </c>
    </row>
    <row r="363" spans="1:11" x14ac:dyDescent="0.2">
      <c r="A363" s="416" t="s">
        <v>1320</v>
      </c>
      <c r="B363" s="416"/>
      <c r="C363" s="416"/>
      <c r="D363" s="416"/>
      <c r="E363" s="3">
        <f t="shared" ref="E363:J363" si="6">SUM(E360:E362)</f>
        <v>5422514</v>
      </c>
      <c r="F363" s="3">
        <f t="shared" si="6"/>
        <v>5316030</v>
      </c>
      <c r="G363" s="3">
        <f>SUM(G360:G362)</f>
        <v>7902377</v>
      </c>
      <c r="H363" s="3">
        <f t="shared" ref="H363" si="7">SUM(H360:H362)</f>
        <v>7640215</v>
      </c>
      <c r="I363" s="3">
        <f>SUM(I360:I362)</f>
        <v>7644437</v>
      </c>
      <c r="J363" s="3">
        <f t="shared" si="6"/>
        <v>0</v>
      </c>
    </row>
    <row r="364" spans="1:11" x14ac:dyDescent="0.2">
      <c r="A364" s="416"/>
      <c r="B364" s="416"/>
      <c r="C364" s="416"/>
      <c r="D364" s="416"/>
      <c r="E364" s="416"/>
      <c r="F364" s="416"/>
      <c r="G364" s="416"/>
      <c r="H364" s="475"/>
      <c r="I364" s="416"/>
      <c r="J364" s="416"/>
    </row>
    <row r="365" spans="1:11" x14ac:dyDescent="0.2">
      <c r="A365" s="416"/>
      <c r="B365" s="416"/>
      <c r="C365" s="416"/>
      <c r="D365" s="416"/>
      <c r="E365" s="416"/>
      <c r="F365" s="416"/>
      <c r="G365" s="3"/>
      <c r="H365" s="3"/>
      <c r="I365" s="416"/>
      <c r="J365" s="3">
        <v>4222</v>
      </c>
    </row>
    <row r="366" spans="1:11" x14ac:dyDescent="0.2">
      <c r="A366" s="416"/>
      <c r="B366" s="416"/>
      <c r="C366" s="416"/>
      <c r="D366" s="416"/>
      <c r="E366" s="416"/>
      <c r="F366" s="416"/>
      <c r="G366" s="416"/>
      <c r="H366" s="475"/>
      <c r="I366" s="3">
        <f>I363-H363</f>
        <v>4222</v>
      </c>
      <c r="J366" s="3">
        <f>J363-H363</f>
        <v>-7640215</v>
      </c>
    </row>
    <row r="367" spans="1:11" x14ac:dyDescent="0.2">
      <c r="A367" s="416"/>
      <c r="B367" s="416"/>
      <c r="C367" s="416"/>
      <c r="D367" s="416"/>
      <c r="E367" s="416"/>
      <c r="F367" s="416"/>
      <c r="G367" s="416"/>
      <c r="H367" s="475"/>
      <c r="I367" s="416"/>
      <c r="J367" s="3">
        <f>J365-J366</f>
        <v>7644437</v>
      </c>
    </row>
    <row r="368" spans="1:11" x14ac:dyDescent="0.2">
      <c r="A368" s="416"/>
      <c r="B368" s="416"/>
      <c r="C368" s="416"/>
      <c r="D368" s="416"/>
      <c r="E368" s="416"/>
      <c r="F368" s="416"/>
      <c r="G368" s="416"/>
      <c r="H368" s="475"/>
      <c r="I368" s="416"/>
      <c r="J368" s="416"/>
    </row>
    <row r="369" spans="1:10" x14ac:dyDescent="0.2">
      <c r="A369" s="416"/>
      <c r="B369" s="416"/>
      <c r="C369" s="416"/>
      <c r="D369" s="416"/>
      <c r="E369" s="416"/>
      <c r="F369" s="416"/>
      <c r="G369" s="416"/>
      <c r="H369" s="475"/>
      <c r="I369" s="416"/>
      <c r="J369" s="416"/>
    </row>
    <row r="370" spans="1:10" x14ac:dyDescent="0.2">
      <c r="A370" s="416"/>
      <c r="B370" s="416"/>
      <c r="C370" s="416"/>
      <c r="D370" s="416"/>
      <c r="E370" s="416"/>
      <c r="F370" s="416"/>
      <c r="G370" s="416"/>
      <c r="H370" s="475"/>
      <c r="I370" s="416"/>
      <c r="J370" s="416"/>
    </row>
    <row r="371" spans="1:10" x14ac:dyDescent="0.2">
      <c r="A371" s="416"/>
      <c r="B371" s="416"/>
      <c r="C371" s="416"/>
      <c r="D371" s="416"/>
      <c r="E371" s="416"/>
      <c r="F371" s="416"/>
      <c r="G371" s="416"/>
      <c r="H371" s="475"/>
      <c r="I371" s="416"/>
      <c r="J371" s="416"/>
    </row>
    <row r="372" spans="1:10" x14ac:dyDescent="0.2">
      <c r="A372" s="416"/>
      <c r="B372" s="416"/>
      <c r="C372" s="416"/>
      <c r="D372" s="416"/>
      <c r="E372" s="416"/>
      <c r="F372" s="416"/>
      <c r="G372" s="416"/>
      <c r="H372" s="475"/>
      <c r="I372" s="416"/>
      <c r="J372" s="416"/>
    </row>
    <row r="373" spans="1:10" x14ac:dyDescent="0.2">
      <c r="A373" s="416"/>
      <c r="B373" s="416"/>
      <c r="C373" s="416"/>
      <c r="D373" s="416"/>
      <c r="E373" s="416"/>
      <c r="F373" s="416"/>
      <c r="G373" s="416"/>
      <c r="H373" s="475"/>
      <c r="I373" s="416"/>
      <c r="J373" s="416"/>
    </row>
    <row r="374" spans="1:10" x14ac:dyDescent="0.2">
      <c r="A374" s="416"/>
      <c r="B374" s="416"/>
      <c r="C374" s="416"/>
      <c r="D374" s="416"/>
      <c r="E374" s="416"/>
      <c r="F374" s="416"/>
      <c r="G374" s="416"/>
      <c r="H374" s="475"/>
      <c r="I374" s="416"/>
      <c r="J374" s="416"/>
    </row>
    <row r="375" spans="1:10" x14ac:dyDescent="0.2">
      <c r="A375" s="416"/>
      <c r="B375" s="416"/>
      <c r="C375" s="416"/>
      <c r="D375" s="416"/>
      <c r="E375" s="416"/>
      <c r="F375" s="416"/>
      <c r="G375" s="416"/>
      <c r="H375" s="475"/>
      <c r="I375" s="416"/>
      <c r="J375" s="416"/>
    </row>
    <row r="376" spans="1:10" x14ac:dyDescent="0.2">
      <c r="A376" s="416"/>
      <c r="B376" s="416"/>
      <c r="C376" s="416"/>
      <c r="D376" s="416"/>
      <c r="E376" s="416"/>
      <c r="F376" s="416"/>
      <c r="G376" s="416"/>
      <c r="H376" s="475"/>
      <c r="I376" s="416"/>
      <c r="J376" s="416"/>
    </row>
    <row r="377" spans="1:10" x14ac:dyDescent="0.2">
      <c r="A377" s="416"/>
      <c r="B377" s="416"/>
      <c r="C377" s="416"/>
      <c r="D377" s="416"/>
      <c r="E377" s="416"/>
      <c r="F377" s="416"/>
      <c r="G377" s="416"/>
      <c r="H377" s="475"/>
      <c r="I377" s="416"/>
      <c r="J377" s="416"/>
    </row>
    <row r="378" spans="1:10" x14ac:dyDescent="0.2">
      <c r="A378" s="416"/>
      <c r="B378" s="416"/>
      <c r="C378" s="416"/>
      <c r="D378" s="416"/>
      <c r="E378" s="416"/>
      <c r="F378" s="416"/>
      <c r="G378" s="416"/>
      <c r="H378" s="416"/>
      <c r="I378" s="416"/>
      <c r="J378" s="416"/>
    </row>
    <row r="379" spans="1:10" x14ac:dyDescent="0.2">
      <c r="A379" s="416"/>
      <c r="B379" s="416"/>
      <c r="C379" s="416"/>
      <c r="D379" s="416"/>
      <c r="E379" s="416"/>
      <c r="F379" s="416"/>
      <c r="G379" s="416"/>
      <c r="H379" s="416"/>
      <c r="I379" s="416"/>
      <c r="J379" s="416"/>
    </row>
    <row r="380" spans="1:10" x14ac:dyDescent="0.2">
      <c r="I380" s="413"/>
    </row>
    <row r="381" spans="1:10" x14ac:dyDescent="0.2">
      <c r="I381" s="413"/>
    </row>
    <row r="382" spans="1:10" x14ac:dyDescent="0.2">
      <c r="I382" s="413"/>
    </row>
    <row r="383" spans="1:10" x14ac:dyDescent="0.2">
      <c r="I383" s="413"/>
    </row>
    <row r="384" spans="1:10" x14ac:dyDescent="0.2">
      <c r="I384" s="413"/>
    </row>
    <row r="385" spans="9:9" x14ac:dyDescent="0.2">
      <c r="I385" s="413"/>
    </row>
  </sheetData>
  <mergeCells count="1">
    <mergeCell ref="A1:J1"/>
  </mergeCells>
  <phoneticPr fontId="0" type="noConversion"/>
  <printOptions gridLines="1"/>
  <pageMargins left="0.75" right="0.16" top="0.51" bottom="0.22" header="0.5" footer="0"/>
  <pageSetup scale="82" fitToHeight="25" orientation="landscape" r:id="rId1"/>
  <headerFooter alignWithMargins="0"/>
  <rowBreaks count="5" manualBreakCount="5">
    <brk id="49" max="9" man="1"/>
    <brk id="129" max="9" man="1"/>
    <brk id="175" max="9" man="1"/>
    <brk id="220" max="9" man="1"/>
    <brk id="268" max="9"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329"/>
  <sheetViews>
    <sheetView view="pageBreakPreview" zoomScaleNormal="100" zoomScaleSheetLayoutView="100" workbookViewId="0">
      <pane ySplit="5" topLeftCell="A205" activePane="bottomLeft" state="frozen"/>
      <selection pane="bottomLeft" activeCell="J222" sqref="J222"/>
    </sheetView>
  </sheetViews>
  <sheetFormatPr defaultColWidth="8.85546875" defaultRowHeight="12.75" x14ac:dyDescent="0.2"/>
  <cols>
    <col min="1" max="1" width="50" style="348" bestFit="1" customWidth="1"/>
    <col min="2" max="2" width="8.85546875" style="348" customWidth="1"/>
    <col min="3" max="3" width="9" style="348" bestFit="1" customWidth="1"/>
    <col min="4" max="4" width="11.42578125" style="3" bestFit="1" customWidth="1"/>
    <col min="5" max="5" width="10.42578125" style="348" bestFit="1" customWidth="1"/>
    <col min="6" max="6" width="10.28515625" style="348" bestFit="1" customWidth="1"/>
    <col min="7" max="7" width="10.85546875" style="348" bestFit="1" customWidth="1"/>
    <col min="8" max="8" width="14" style="3" customWidth="1"/>
    <col min="9" max="9" width="10.28515625" style="348" bestFit="1" customWidth="1"/>
    <col min="10" max="10" width="10.85546875" style="348" customWidth="1"/>
    <col min="11" max="16384" width="8.85546875" style="348"/>
  </cols>
  <sheetData>
    <row r="1" spans="1:11" x14ac:dyDescent="0.2">
      <c r="A1" s="562" t="str">
        <f>'SUMMARY BY FUND'!A1:J1</f>
        <v>2023-24 BUDGET</v>
      </c>
      <c r="B1" s="563"/>
      <c r="C1" s="563"/>
      <c r="D1" s="563"/>
      <c r="E1" s="563"/>
      <c r="F1" s="563"/>
      <c r="G1" s="563"/>
      <c r="H1" s="563"/>
      <c r="I1" s="563"/>
      <c r="J1" s="563"/>
    </row>
    <row r="2" spans="1:11" ht="18.75" x14ac:dyDescent="0.3">
      <c r="A2" s="202" t="s">
        <v>1878</v>
      </c>
      <c r="B2" s="202"/>
      <c r="C2" s="202"/>
      <c r="D2" s="202"/>
      <c r="E2" s="202"/>
      <c r="F2" s="202"/>
    </row>
    <row r="3" spans="1:11" x14ac:dyDescent="0.2">
      <c r="A3" s="416"/>
      <c r="B3" s="3"/>
      <c r="C3" s="3"/>
      <c r="E3" s="3"/>
      <c r="F3" s="3"/>
      <c r="G3" s="416"/>
      <c r="I3" s="416"/>
      <c r="J3" s="416"/>
      <c r="K3" s="416"/>
    </row>
    <row r="4" spans="1:11" x14ac:dyDescent="0.2">
      <c r="A4" s="416"/>
      <c r="B4" s="3"/>
      <c r="C4" s="3"/>
      <c r="E4" s="19" t="s">
        <v>250</v>
      </c>
      <c r="F4" s="19" t="s">
        <v>251</v>
      </c>
      <c r="G4" s="19" t="s">
        <v>68</v>
      </c>
      <c r="H4" s="19" t="s">
        <v>432</v>
      </c>
      <c r="I4" s="19" t="s">
        <v>338</v>
      </c>
      <c r="J4" s="19" t="s">
        <v>370</v>
      </c>
      <c r="K4" s="416"/>
    </row>
    <row r="5" spans="1:11" ht="15" x14ac:dyDescent="0.35">
      <c r="A5" s="416"/>
      <c r="B5" s="3"/>
      <c r="C5" s="3"/>
      <c r="E5" s="419" t="s">
        <v>2163</v>
      </c>
      <c r="F5" s="419" t="s">
        <v>2290</v>
      </c>
      <c r="G5" s="419" t="s">
        <v>2507</v>
      </c>
      <c r="H5" s="419" t="s">
        <v>2507</v>
      </c>
      <c r="I5" s="419" t="s">
        <v>2507</v>
      </c>
      <c r="J5" s="419" t="s">
        <v>2507</v>
      </c>
      <c r="K5" s="416"/>
    </row>
    <row r="6" spans="1:11" ht="13.5" x14ac:dyDescent="0.25">
      <c r="A6" s="417" t="s">
        <v>559</v>
      </c>
      <c r="B6" s="3"/>
      <c r="C6" s="3"/>
      <c r="E6" s="3">
        <v>112035</v>
      </c>
      <c r="F6" s="3">
        <v>117360</v>
      </c>
      <c r="G6" s="3">
        <v>123718</v>
      </c>
      <c r="H6" s="3">
        <v>123718</v>
      </c>
      <c r="I6" s="3">
        <v>123718</v>
      </c>
      <c r="J6" s="3"/>
      <c r="K6" s="416"/>
    </row>
    <row r="7" spans="1:11" x14ac:dyDescent="0.2">
      <c r="A7" s="416" t="s">
        <v>1097</v>
      </c>
      <c r="B7" s="3">
        <v>52</v>
      </c>
      <c r="C7" s="3">
        <f>33.46*40</f>
        <v>1338.4</v>
      </c>
      <c r="D7" s="3">
        <f>ROUND(B7*C7,0)</f>
        <v>69597</v>
      </c>
      <c r="E7" s="3"/>
      <c r="F7" s="3"/>
      <c r="G7" s="3"/>
      <c r="I7" s="3"/>
      <c r="J7" s="3"/>
      <c r="K7" s="416"/>
    </row>
    <row r="8" spans="1:11" x14ac:dyDescent="0.2">
      <c r="A8" s="416" t="s">
        <v>1098</v>
      </c>
      <c r="B8" s="3">
        <v>52</v>
      </c>
      <c r="C8" s="3">
        <f>24.46*40</f>
        <v>978.40000000000009</v>
      </c>
      <c r="D8" s="3">
        <f>ROUND(B8*C8,0)</f>
        <v>50877</v>
      </c>
      <c r="E8" s="3"/>
      <c r="F8" s="3"/>
      <c r="G8" s="3"/>
      <c r="I8" s="3"/>
      <c r="J8" s="3"/>
      <c r="K8" s="416"/>
    </row>
    <row r="9" spans="1:11" x14ac:dyDescent="0.2">
      <c r="A9" s="416" t="s">
        <v>1027</v>
      </c>
      <c r="B9" s="3">
        <v>56</v>
      </c>
      <c r="C9" s="15">
        <f>+C7/40</f>
        <v>33.46</v>
      </c>
      <c r="D9" s="3">
        <f>ROUND(B9*C9,0)</f>
        <v>1874</v>
      </c>
      <c r="E9" s="3"/>
      <c r="F9" s="3"/>
      <c r="G9" s="3"/>
      <c r="I9" s="3"/>
      <c r="J9" s="3"/>
      <c r="K9" s="416"/>
    </row>
    <row r="10" spans="1:11" x14ac:dyDescent="0.2">
      <c r="A10" s="416" t="s">
        <v>1028</v>
      </c>
      <c r="B10" s="3">
        <v>56</v>
      </c>
      <c r="C10" s="15">
        <f>+C8/40</f>
        <v>24.46</v>
      </c>
      <c r="D10" s="3">
        <f>ROUND(B10*C10,0)</f>
        <v>1370</v>
      </c>
      <c r="E10" s="3"/>
      <c r="F10" s="3"/>
      <c r="G10" s="3"/>
      <c r="I10" s="3"/>
      <c r="J10" s="3"/>
      <c r="K10" s="416"/>
    </row>
    <row r="11" spans="1:11" ht="15" x14ac:dyDescent="0.35">
      <c r="A11" s="416" t="s">
        <v>1039</v>
      </c>
      <c r="B11" s="3"/>
      <c r="C11" s="3"/>
      <c r="D11" s="14">
        <v>0</v>
      </c>
      <c r="E11" s="3"/>
      <c r="F11" s="3"/>
      <c r="G11" s="3"/>
      <c r="I11" s="3"/>
      <c r="J11" s="3"/>
      <c r="K11" s="416"/>
    </row>
    <row r="12" spans="1:11" x14ac:dyDescent="0.2">
      <c r="A12" s="416" t="s">
        <v>1320</v>
      </c>
      <c r="B12" s="3"/>
      <c r="C12" s="3"/>
      <c r="D12" s="3">
        <f>SUM(D7:D11)</f>
        <v>123718</v>
      </c>
      <c r="E12" s="3"/>
      <c r="F12" s="3"/>
      <c r="G12" s="3"/>
      <c r="I12" s="3"/>
      <c r="J12" s="3"/>
      <c r="K12" s="416"/>
    </row>
    <row r="13" spans="1:11" x14ac:dyDescent="0.2">
      <c r="A13" s="416"/>
      <c r="B13" s="3"/>
      <c r="C13" s="3"/>
      <c r="E13" s="3"/>
      <c r="F13" s="3"/>
      <c r="G13" s="3"/>
      <c r="I13" s="3"/>
      <c r="J13" s="3"/>
      <c r="K13" s="416"/>
    </row>
    <row r="14" spans="1:11" ht="13.5" x14ac:dyDescent="0.25">
      <c r="A14" s="417" t="s">
        <v>560</v>
      </c>
      <c r="B14" s="3"/>
      <c r="C14" s="3"/>
      <c r="D14" s="3">
        <f t="shared" ref="D14:D20" si="0">ROUND(B14*C14,0)</f>
        <v>0</v>
      </c>
      <c r="E14" s="3">
        <v>188312</v>
      </c>
      <c r="F14" s="3">
        <v>200024</v>
      </c>
      <c r="G14" s="3">
        <v>199992</v>
      </c>
      <c r="H14" s="3">
        <v>199992</v>
      </c>
      <c r="I14" s="3">
        <v>199992</v>
      </c>
      <c r="J14" s="3"/>
      <c r="K14" s="416"/>
    </row>
    <row r="15" spans="1:11" x14ac:dyDescent="0.2">
      <c r="A15" s="224" t="s">
        <v>2018</v>
      </c>
      <c r="B15" s="3">
        <v>52</v>
      </c>
      <c r="C15" s="506">
        <f>25.11*40</f>
        <v>1004.4</v>
      </c>
      <c r="D15" s="3">
        <f t="shared" si="0"/>
        <v>52229</v>
      </c>
      <c r="E15" s="3"/>
      <c r="F15" s="3"/>
      <c r="G15" s="3"/>
      <c r="I15" s="3"/>
      <c r="J15" s="3"/>
      <c r="K15" s="416"/>
    </row>
    <row r="16" spans="1:11" x14ac:dyDescent="0.2">
      <c r="A16" s="224" t="s">
        <v>2018</v>
      </c>
      <c r="B16" s="3">
        <v>52</v>
      </c>
      <c r="C16" s="506">
        <f>24.22*40</f>
        <v>968.8</v>
      </c>
      <c r="D16" s="3">
        <f t="shared" si="0"/>
        <v>50378</v>
      </c>
      <c r="E16" s="3"/>
      <c r="F16" s="3"/>
      <c r="G16" s="3"/>
      <c r="I16" s="3"/>
      <c r="J16" s="3"/>
      <c r="K16" s="416"/>
    </row>
    <row r="17" spans="1:11" x14ac:dyDescent="0.2">
      <c r="A17" s="224" t="s">
        <v>2019</v>
      </c>
      <c r="B17" s="3">
        <v>52</v>
      </c>
      <c r="C17" s="506">
        <f>21.49*40</f>
        <v>859.59999999999991</v>
      </c>
      <c r="D17" s="3">
        <f t="shared" si="0"/>
        <v>44699</v>
      </c>
      <c r="E17" s="3"/>
      <c r="F17" s="3"/>
      <c r="G17" s="3"/>
      <c r="I17" s="3"/>
      <c r="J17" s="3"/>
      <c r="K17" s="416"/>
    </row>
    <row r="18" spans="1:11" x14ac:dyDescent="0.2">
      <c r="A18" s="224" t="s">
        <v>2019</v>
      </c>
      <c r="B18" s="3">
        <v>52</v>
      </c>
      <c r="C18" s="506">
        <f>21.49*40</f>
        <v>859.59999999999991</v>
      </c>
      <c r="D18" s="3">
        <f t="shared" si="0"/>
        <v>44699</v>
      </c>
      <c r="E18" s="3"/>
      <c r="F18" s="3"/>
      <c r="G18" s="3"/>
      <c r="I18" s="3"/>
      <c r="J18" s="3"/>
      <c r="K18" s="416"/>
    </row>
    <row r="19" spans="1:11" x14ac:dyDescent="0.2">
      <c r="A19" s="416" t="s">
        <v>734</v>
      </c>
      <c r="B19" s="3">
        <v>1664</v>
      </c>
      <c r="C19" s="15">
        <v>1</v>
      </c>
      <c r="D19" s="3">
        <f t="shared" si="0"/>
        <v>1664</v>
      </c>
      <c r="E19" s="3"/>
      <c r="F19" s="3"/>
      <c r="G19" s="3"/>
      <c r="I19" s="3"/>
      <c r="J19" s="3"/>
      <c r="K19" s="416"/>
    </row>
    <row r="20" spans="1:11" x14ac:dyDescent="0.2">
      <c r="A20" s="416" t="s">
        <v>735</v>
      </c>
      <c r="B20" s="3">
        <v>224</v>
      </c>
      <c r="C20" s="15">
        <f>SUM(C15:C19)/40/4</f>
        <v>23.083749999999998</v>
      </c>
      <c r="D20" s="3">
        <f t="shared" si="0"/>
        <v>5171</v>
      </c>
      <c r="E20" s="3"/>
      <c r="F20" s="3"/>
      <c r="G20" s="3"/>
      <c r="I20" s="3"/>
      <c r="J20" s="3"/>
      <c r="K20" s="416"/>
    </row>
    <row r="21" spans="1:11" ht="15" x14ac:dyDescent="0.35">
      <c r="A21" s="416" t="s">
        <v>1039</v>
      </c>
      <c r="B21" s="3" t="s">
        <v>418</v>
      </c>
      <c r="C21" s="51" t="s">
        <v>418</v>
      </c>
      <c r="D21" s="14">
        <v>1152</v>
      </c>
      <c r="E21" s="3"/>
      <c r="F21" s="3"/>
      <c r="G21" s="3"/>
      <c r="I21" s="3"/>
      <c r="J21" s="3"/>
      <c r="K21" s="416"/>
    </row>
    <row r="22" spans="1:11" x14ac:dyDescent="0.2">
      <c r="A22" s="416" t="s">
        <v>1320</v>
      </c>
      <c r="B22" s="3"/>
      <c r="C22" s="3"/>
      <c r="D22" s="3">
        <f>SUM(D15:D21)</f>
        <v>199992</v>
      </c>
      <c r="E22" s="3"/>
      <c r="F22" s="3"/>
      <c r="G22" s="3"/>
      <c r="I22" s="3"/>
      <c r="J22" s="3"/>
      <c r="K22" s="416"/>
    </row>
    <row r="23" spans="1:11" x14ac:dyDescent="0.2">
      <c r="A23" s="416"/>
      <c r="B23" s="416"/>
      <c r="C23" s="416"/>
      <c r="E23" s="3"/>
      <c r="F23" s="3"/>
      <c r="G23" s="3"/>
      <c r="I23" s="3"/>
      <c r="J23" s="3"/>
      <c r="K23" s="416"/>
    </row>
    <row r="24" spans="1:11" ht="13.5" x14ac:dyDescent="0.25">
      <c r="A24" s="417" t="s">
        <v>561</v>
      </c>
      <c r="B24" s="416"/>
      <c r="C24" s="416"/>
      <c r="E24" s="3">
        <v>21934</v>
      </c>
      <c r="F24" s="3">
        <v>14615</v>
      </c>
      <c r="G24" s="3">
        <v>15407</v>
      </c>
      <c r="H24" s="3">
        <v>15407</v>
      </c>
      <c r="I24" s="3">
        <v>15407</v>
      </c>
      <c r="J24" s="3"/>
      <c r="K24" s="416"/>
    </row>
    <row r="25" spans="1:11" x14ac:dyDescent="0.2">
      <c r="A25" s="416" t="s">
        <v>1619</v>
      </c>
      <c r="B25" s="3">
        <v>354.67</v>
      </c>
      <c r="C25" s="15">
        <f>+(C7+C8)/40/2*1.5</f>
        <v>43.44</v>
      </c>
      <c r="D25" s="3">
        <f>ROUND(B25*C25,0)</f>
        <v>15407</v>
      </c>
      <c r="E25" s="3"/>
      <c r="F25" s="3"/>
      <c r="G25" s="3"/>
      <c r="I25" s="3"/>
      <c r="J25" s="3"/>
      <c r="K25" s="416"/>
    </row>
    <row r="26" spans="1:11" x14ac:dyDescent="0.2">
      <c r="A26" s="416" t="s">
        <v>418</v>
      </c>
      <c r="B26" s="3"/>
      <c r="C26" s="15"/>
      <c r="E26" s="3"/>
      <c r="F26" s="3"/>
      <c r="G26" s="3"/>
      <c r="I26" s="3"/>
      <c r="J26" s="3"/>
      <c r="K26" s="416"/>
    </row>
    <row r="27" spans="1:11" ht="13.5" x14ac:dyDescent="0.25">
      <c r="A27" s="417" t="s">
        <v>1793</v>
      </c>
      <c r="B27" s="416"/>
      <c r="C27" s="416"/>
      <c r="E27" s="3">
        <v>13889</v>
      </c>
      <c r="F27" s="3">
        <v>18431</v>
      </c>
      <c r="G27" s="3">
        <v>18768</v>
      </c>
      <c r="H27" s="3">
        <v>18768</v>
      </c>
      <c r="I27" s="3">
        <v>18768</v>
      </c>
      <c r="J27" s="3"/>
      <c r="K27" s="416"/>
    </row>
    <row r="28" spans="1:11" x14ac:dyDescent="0.2">
      <c r="A28" s="27" t="s">
        <v>1708</v>
      </c>
      <c r="B28" s="416">
        <v>1020</v>
      </c>
      <c r="C28" s="289">
        <v>13.38</v>
      </c>
      <c r="D28" s="3">
        <f>+C28*B28</f>
        <v>13647.6</v>
      </c>
      <c r="E28" s="3"/>
      <c r="F28" s="418"/>
      <c r="G28" s="416"/>
      <c r="H28" s="475"/>
      <c r="I28" s="557"/>
      <c r="J28" s="557"/>
      <c r="K28" s="416"/>
    </row>
    <row r="29" spans="1:11" x14ac:dyDescent="0.2">
      <c r="A29" s="27" t="s">
        <v>2283</v>
      </c>
      <c r="B29" s="416" t="s">
        <v>2272</v>
      </c>
      <c r="C29" s="289">
        <v>16</v>
      </c>
      <c r="D29" s="37">
        <f>20*16*16</f>
        <v>5120</v>
      </c>
      <c r="E29" s="3"/>
      <c r="F29" s="418"/>
      <c r="G29" s="416"/>
      <c r="H29" s="475"/>
      <c r="I29" s="557"/>
      <c r="J29" s="557"/>
      <c r="K29" s="416"/>
    </row>
    <row r="30" spans="1:11" x14ac:dyDescent="0.2">
      <c r="A30" s="27"/>
      <c r="B30" s="416"/>
      <c r="C30" s="289"/>
      <c r="D30" s="3">
        <f>SUM(D28:D29)</f>
        <v>18767.599999999999</v>
      </c>
      <c r="E30" s="3"/>
      <c r="F30" s="418"/>
      <c r="G30" s="416"/>
      <c r="H30" s="475"/>
      <c r="I30" s="557"/>
      <c r="J30" s="557"/>
      <c r="K30" s="416"/>
    </row>
    <row r="31" spans="1:11" x14ac:dyDescent="0.2">
      <c r="A31" s="416"/>
      <c r="B31" s="3"/>
      <c r="C31" s="15"/>
      <c r="E31" s="3"/>
      <c r="F31" s="3"/>
      <c r="G31" s="3"/>
      <c r="I31" s="3"/>
      <c r="J31" s="3"/>
      <c r="K31" s="416"/>
    </row>
    <row r="32" spans="1:11" ht="13.5" x14ac:dyDescent="0.25">
      <c r="A32" s="417" t="s">
        <v>594</v>
      </c>
      <c r="B32" s="416"/>
      <c r="C32" s="416"/>
      <c r="E32" s="3">
        <v>54468</v>
      </c>
      <c r="F32" s="3">
        <v>34631</v>
      </c>
      <c r="G32" s="3">
        <v>34626</v>
      </c>
      <c r="H32" s="3">
        <v>34626</v>
      </c>
      <c r="I32" s="3">
        <v>34626</v>
      </c>
      <c r="J32" s="3"/>
      <c r="K32" s="416"/>
    </row>
    <row r="33" spans="1:11" x14ac:dyDescent="0.2">
      <c r="A33" s="416" t="s">
        <v>1620</v>
      </c>
      <c r="B33" s="3" t="s">
        <v>418</v>
      </c>
      <c r="C33" s="15" t="s">
        <v>418</v>
      </c>
      <c r="D33" s="3" t="s">
        <v>418</v>
      </c>
      <c r="E33" s="3"/>
      <c r="F33" s="3"/>
      <c r="G33" s="3"/>
      <c r="I33" s="3"/>
      <c r="J33" s="3"/>
      <c r="K33" s="416"/>
    </row>
    <row r="34" spans="1:11" x14ac:dyDescent="0.2">
      <c r="A34" s="416" t="s">
        <v>775</v>
      </c>
      <c r="B34" s="3">
        <v>1000</v>
      </c>
      <c r="C34" s="15">
        <f>+C20*1.5</f>
        <v>34.625624999999999</v>
      </c>
      <c r="D34" s="3">
        <f>ROUND(B34*C34,0)</f>
        <v>34626</v>
      </c>
      <c r="E34" s="3"/>
      <c r="F34" s="3"/>
      <c r="G34" s="3"/>
      <c r="I34" s="3"/>
      <c r="J34" s="3"/>
      <c r="K34" s="416"/>
    </row>
    <row r="35" spans="1:11" ht="13.15" customHeight="1" x14ac:dyDescent="0.2">
      <c r="A35" s="416"/>
      <c r="B35" s="3"/>
      <c r="C35" s="15"/>
      <c r="E35" s="3"/>
      <c r="F35" s="3"/>
      <c r="G35" s="3"/>
      <c r="I35" s="3"/>
      <c r="J35" s="3"/>
      <c r="K35" s="416"/>
    </row>
    <row r="36" spans="1:11" ht="13.5" x14ac:dyDescent="0.25">
      <c r="A36" s="417" t="s">
        <v>595</v>
      </c>
      <c r="B36" s="416"/>
      <c r="C36" s="416"/>
      <c r="E36" s="3">
        <v>30568</v>
      </c>
      <c r="F36" s="3">
        <v>29065</v>
      </c>
      <c r="G36" s="3">
        <v>29635</v>
      </c>
      <c r="H36" s="3">
        <v>29635</v>
      </c>
      <c r="I36" s="3">
        <v>29635</v>
      </c>
      <c r="J36" s="3"/>
      <c r="K36" s="416"/>
    </row>
    <row r="37" spans="1:11" hidden="1" x14ac:dyDescent="0.2">
      <c r="A37" s="16" t="s">
        <v>1536</v>
      </c>
      <c r="B37" s="3">
        <f>+D12</f>
        <v>123718</v>
      </c>
      <c r="C37" s="17">
        <v>7.6499999999999999E-2</v>
      </c>
      <c r="D37" s="3">
        <f>ROUND(B37*C37,0)</f>
        <v>9464</v>
      </c>
      <c r="E37" s="3"/>
      <c r="F37" s="3"/>
      <c r="G37" s="3"/>
      <c r="I37" s="3"/>
      <c r="J37" s="3"/>
      <c r="K37" s="416"/>
    </row>
    <row r="38" spans="1:11" hidden="1" x14ac:dyDescent="0.2">
      <c r="A38" s="16" t="s">
        <v>883</v>
      </c>
      <c r="B38" s="3">
        <f>+D22</f>
        <v>199992</v>
      </c>
      <c r="C38" s="17">
        <v>7.6499999999999999E-2</v>
      </c>
      <c r="D38" s="3">
        <f>ROUND(B38*C38,0)</f>
        <v>15299</v>
      </c>
      <c r="E38" s="3"/>
      <c r="F38" s="3"/>
      <c r="G38" s="3"/>
      <c r="I38" s="3"/>
      <c r="J38" s="3"/>
      <c r="K38" s="416"/>
    </row>
    <row r="39" spans="1:11" hidden="1" x14ac:dyDescent="0.2">
      <c r="A39" s="16" t="s">
        <v>966</v>
      </c>
      <c r="B39" s="3">
        <f>+D25</f>
        <v>15407</v>
      </c>
      <c r="C39" s="17">
        <v>7.6499999999999999E-2</v>
      </c>
      <c r="D39" s="3">
        <f>ROUND(B39*C39,0)</f>
        <v>1179</v>
      </c>
      <c r="E39" s="3"/>
      <c r="F39" s="3"/>
      <c r="G39" s="3"/>
      <c r="I39" s="3"/>
      <c r="J39" s="3"/>
      <c r="K39" s="416"/>
    </row>
    <row r="40" spans="1:11" hidden="1" x14ac:dyDescent="0.2">
      <c r="A40" s="16" t="s">
        <v>196</v>
      </c>
      <c r="B40" s="3">
        <f>+D28</f>
        <v>13647.6</v>
      </c>
      <c r="C40" s="17">
        <v>7.6499999999999999E-2</v>
      </c>
      <c r="D40" s="3">
        <f>ROUND(B40*C40,0)</f>
        <v>1044</v>
      </c>
      <c r="E40" s="3"/>
      <c r="F40" s="3"/>
      <c r="G40" s="3"/>
      <c r="I40" s="3"/>
      <c r="J40" s="3"/>
      <c r="K40" s="416"/>
    </row>
    <row r="41" spans="1:11" ht="15" hidden="1" x14ac:dyDescent="0.35">
      <c r="A41" s="16" t="s">
        <v>197</v>
      </c>
      <c r="B41" s="3">
        <f>+D34</f>
        <v>34626</v>
      </c>
      <c r="C41" s="17">
        <v>7.6499999999999999E-2</v>
      </c>
      <c r="D41" s="14">
        <f>ROUND(B41*C41,0)</f>
        <v>2649</v>
      </c>
      <c r="E41" s="3"/>
      <c r="F41" s="3"/>
      <c r="G41" s="3"/>
      <c r="I41" s="3"/>
      <c r="J41" s="3"/>
      <c r="K41" s="416"/>
    </row>
    <row r="42" spans="1:11" hidden="1" x14ac:dyDescent="0.2">
      <c r="A42" s="416" t="s">
        <v>106</v>
      </c>
      <c r="B42" s="416"/>
      <c r="C42" s="416"/>
      <c r="D42" s="3">
        <f>SUM(D37:D41)</f>
        <v>29635</v>
      </c>
      <c r="E42" s="3"/>
      <c r="F42" s="3"/>
      <c r="G42" s="3"/>
      <c r="I42" s="3"/>
      <c r="J42" s="3"/>
      <c r="K42" s="416"/>
    </row>
    <row r="43" spans="1:11" x14ac:dyDescent="0.2">
      <c r="A43" s="491"/>
      <c r="B43" s="3"/>
      <c r="C43" s="491"/>
      <c r="E43" s="3"/>
      <c r="F43" s="3"/>
      <c r="G43" s="3"/>
      <c r="I43" s="3"/>
      <c r="J43" s="3"/>
      <c r="K43" s="416"/>
    </row>
    <row r="44" spans="1:11" ht="13.15" customHeight="1" x14ac:dyDescent="0.25">
      <c r="A44" s="494" t="s">
        <v>596</v>
      </c>
      <c r="B44" s="491"/>
      <c r="C44" s="491"/>
      <c r="E44" s="3">
        <v>54200</v>
      </c>
      <c r="F44" s="3">
        <v>51548</v>
      </c>
      <c r="G44" s="3">
        <v>50568</v>
      </c>
      <c r="H44" s="3">
        <v>50568</v>
      </c>
      <c r="I44" s="3">
        <v>50568</v>
      </c>
      <c r="J44" s="3"/>
      <c r="K44" s="416"/>
    </row>
    <row r="45" spans="1:11" ht="13.15" hidden="1" customHeight="1" x14ac:dyDescent="0.2">
      <c r="A45" s="491" t="s">
        <v>776</v>
      </c>
      <c r="B45" s="3">
        <f>+D7+D9+D11</f>
        <v>71471</v>
      </c>
      <c r="C45" s="507">
        <v>0.1353</v>
      </c>
      <c r="D45" s="3">
        <f>ROUND(B45*C45,0)</f>
        <v>9670</v>
      </c>
      <c r="E45" s="3"/>
      <c r="F45" s="3"/>
      <c r="G45" s="3"/>
      <c r="I45" s="3"/>
      <c r="J45" s="3"/>
      <c r="K45" s="416"/>
    </row>
    <row r="46" spans="1:11" ht="13.15" hidden="1" customHeight="1" x14ac:dyDescent="0.2">
      <c r="A46" s="491" t="s">
        <v>539</v>
      </c>
      <c r="B46" s="3">
        <f>+D8+D10</f>
        <v>52247</v>
      </c>
      <c r="C46" s="507">
        <v>0.1353</v>
      </c>
      <c r="D46" s="3">
        <f>ROUND(B46*C46,0)</f>
        <v>7069</v>
      </c>
      <c r="E46" s="3"/>
      <c r="F46" s="3"/>
      <c r="G46" s="3"/>
      <c r="I46" s="3"/>
      <c r="J46" s="3"/>
      <c r="K46" s="416"/>
    </row>
    <row r="47" spans="1:11" ht="13.15" hidden="1" customHeight="1" x14ac:dyDescent="0.2">
      <c r="A47" s="16" t="s">
        <v>883</v>
      </c>
      <c r="B47" s="3">
        <f>+D22</f>
        <v>199992</v>
      </c>
      <c r="C47" s="507">
        <v>0.1353</v>
      </c>
      <c r="D47" s="3">
        <f>ROUND(B47*C47,0)</f>
        <v>27059</v>
      </c>
      <c r="E47" s="3"/>
      <c r="F47" s="3"/>
      <c r="G47" s="3"/>
      <c r="I47" s="3"/>
      <c r="J47" s="3"/>
      <c r="K47" s="416"/>
    </row>
    <row r="48" spans="1:11" ht="13.15" hidden="1" customHeight="1" x14ac:dyDescent="0.2">
      <c r="A48" s="16" t="s">
        <v>966</v>
      </c>
      <c r="B48" s="3">
        <f>+D25</f>
        <v>15407</v>
      </c>
      <c r="C48" s="507">
        <v>0.1353</v>
      </c>
      <c r="D48" s="3">
        <f>ROUND(B48*C48,0)</f>
        <v>2085</v>
      </c>
      <c r="E48" s="3"/>
      <c r="F48" s="3"/>
      <c r="G48" s="3"/>
      <c r="I48" s="3"/>
      <c r="J48" s="3"/>
      <c r="K48" s="416"/>
    </row>
    <row r="49" spans="1:11" ht="13.15" hidden="1" customHeight="1" x14ac:dyDescent="0.35">
      <c r="A49" s="16" t="s">
        <v>197</v>
      </c>
      <c r="B49" s="3">
        <f>+D34</f>
        <v>34626</v>
      </c>
      <c r="C49" s="507">
        <v>0.1353</v>
      </c>
      <c r="D49" s="14">
        <f>ROUND(B49*C49,0)</f>
        <v>4685</v>
      </c>
      <c r="E49" s="3"/>
      <c r="F49" s="3"/>
      <c r="G49" s="3"/>
      <c r="I49" s="3"/>
      <c r="J49" s="3"/>
      <c r="K49" s="416"/>
    </row>
    <row r="50" spans="1:11" ht="13.15" hidden="1" customHeight="1" x14ac:dyDescent="0.2">
      <c r="A50" s="491" t="s">
        <v>1320</v>
      </c>
      <c r="B50" s="491"/>
      <c r="C50" s="491"/>
      <c r="D50" s="3">
        <f>SUM(D45:D49)</f>
        <v>50568</v>
      </c>
      <c r="E50" s="3"/>
      <c r="F50" s="3"/>
      <c r="G50" s="3"/>
      <c r="I50" s="3"/>
      <c r="J50" s="3"/>
      <c r="K50" s="416"/>
    </row>
    <row r="51" spans="1:11" ht="13.15" customHeight="1" x14ac:dyDescent="0.2">
      <c r="A51" s="491"/>
      <c r="B51" s="491"/>
      <c r="C51" s="491"/>
      <c r="E51" s="3"/>
      <c r="F51" s="3"/>
      <c r="G51" s="3"/>
      <c r="I51" s="3"/>
      <c r="J51" s="3"/>
      <c r="K51" s="416"/>
    </row>
    <row r="52" spans="1:11" ht="13.15" customHeight="1" x14ac:dyDescent="0.25">
      <c r="A52" s="494" t="s">
        <v>597</v>
      </c>
      <c r="B52" s="491"/>
      <c r="C52" s="491"/>
      <c r="E52" s="3">
        <v>113455</v>
      </c>
      <c r="F52" s="3">
        <v>114000</v>
      </c>
      <c r="G52" s="3">
        <v>121500</v>
      </c>
      <c r="H52" s="3">
        <v>121500</v>
      </c>
      <c r="I52" s="3">
        <v>121500</v>
      </c>
      <c r="J52" s="3"/>
      <c r="K52" s="416"/>
    </row>
    <row r="53" spans="1:11" ht="13.15" hidden="1" customHeight="1" x14ac:dyDescent="0.2">
      <c r="A53" s="491" t="s">
        <v>2287</v>
      </c>
      <c r="B53" s="3">
        <v>4</v>
      </c>
      <c r="C53" s="3">
        <v>20250</v>
      </c>
      <c r="D53" s="3">
        <f>ROUND(B53*C53,0)</f>
        <v>81000</v>
      </c>
      <c r="E53" s="3"/>
      <c r="F53" s="3"/>
      <c r="G53" s="3"/>
      <c r="I53" s="3"/>
      <c r="J53" s="3"/>
      <c r="K53" s="416"/>
    </row>
    <row r="54" spans="1:11" ht="13.15" hidden="1" customHeight="1" x14ac:dyDescent="0.35">
      <c r="A54" s="491" t="s">
        <v>372</v>
      </c>
      <c r="B54" s="3">
        <v>2</v>
      </c>
      <c r="C54" s="3">
        <v>20250</v>
      </c>
      <c r="D54" s="14">
        <f>ROUND(B54*C54,0)</f>
        <v>40500</v>
      </c>
      <c r="E54" s="3"/>
      <c r="F54" s="3"/>
      <c r="G54" s="3"/>
      <c r="I54" s="3"/>
      <c r="J54" s="3"/>
      <c r="K54" s="416"/>
    </row>
    <row r="55" spans="1:11" ht="13.15" hidden="1" customHeight="1" x14ac:dyDescent="0.2">
      <c r="A55" s="491" t="s">
        <v>877</v>
      </c>
      <c r="B55" s="3"/>
      <c r="C55" s="3"/>
      <c r="D55" s="3">
        <f>SUM(D53:D54)</f>
        <v>121500</v>
      </c>
      <c r="E55" s="3"/>
      <c r="F55" s="3"/>
      <c r="G55" s="3"/>
      <c r="I55" s="3"/>
      <c r="J55" s="3"/>
      <c r="K55" s="416"/>
    </row>
    <row r="56" spans="1:11" ht="13.15" customHeight="1" x14ac:dyDescent="0.2">
      <c r="A56" s="491"/>
      <c r="B56" s="3"/>
      <c r="C56" s="491"/>
      <c r="E56" s="3"/>
      <c r="F56" s="3"/>
      <c r="G56" s="3"/>
      <c r="I56" s="3"/>
      <c r="J56" s="3"/>
      <c r="K56" s="416"/>
    </row>
    <row r="57" spans="1:11" ht="13.15" customHeight="1" x14ac:dyDescent="0.25">
      <c r="A57" s="494" t="s">
        <v>598</v>
      </c>
      <c r="B57" s="3"/>
      <c r="C57" s="491"/>
      <c r="E57" s="3">
        <v>7471</v>
      </c>
      <c r="F57" s="3">
        <v>7425</v>
      </c>
      <c r="G57" s="3">
        <v>7425</v>
      </c>
      <c r="H57" s="3">
        <v>7425</v>
      </c>
      <c r="I57" s="3">
        <v>7425</v>
      </c>
      <c r="J57" s="3"/>
      <c r="K57" s="416"/>
    </row>
    <row r="58" spans="1:11" ht="13.15" hidden="1" customHeight="1" x14ac:dyDescent="0.2">
      <c r="A58" s="491" t="s">
        <v>440</v>
      </c>
      <c r="B58" s="3">
        <v>6</v>
      </c>
      <c r="C58" s="3">
        <v>1375</v>
      </c>
      <c r="D58" s="3">
        <f>ROUND(B58*C58,0)</f>
        <v>8250</v>
      </c>
      <c r="E58" s="3"/>
      <c r="F58" s="3"/>
      <c r="G58" s="3"/>
      <c r="I58" s="3"/>
      <c r="J58" s="3"/>
      <c r="K58" s="416"/>
    </row>
    <row r="59" spans="1:11" ht="13.15" hidden="1" customHeight="1" x14ac:dyDescent="0.35">
      <c r="A59" s="491" t="s">
        <v>1758</v>
      </c>
      <c r="B59" s="3"/>
      <c r="C59" s="3"/>
      <c r="D59" s="14">
        <f>+D58*-0.1</f>
        <v>-825</v>
      </c>
      <c r="E59" s="3"/>
      <c r="F59" s="3"/>
      <c r="G59" s="3"/>
      <c r="I59" s="3"/>
      <c r="J59" s="3"/>
      <c r="K59" s="416"/>
    </row>
    <row r="60" spans="1:11" ht="13.15" hidden="1" customHeight="1" x14ac:dyDescent="0.2">
      <c r="A60" s="491"/>
      <c r="B60" s="3"/>
      <c r="C60" s="3"/>
      <c r="D60" s="3">
        <f>SUM(D58:D59)</f>
        <v>7425</v>
      </c>
      <c r="E60" s="3"/>
      <c r="F60" s="3"/>
      <c r="G60" s="3"/>
      <c r="I60" s="3"/>
      <c r="J60" s="3"/>
      <c r="K60" s="416"/>
    </row>
    <row r="61" spans="1:11" ht="13.15" customHeight="1" x14ac:dyDescent="0.2">
      <c r="A61" s="491"/>
      <c r="B61" s="491"/>
      <c r="C61" s="491"/>
      <c r="E61" s="3"/>
      <c r="F61" s="3"/>
      <c r="G61" s="3"/>
      <c r="I61" s="3"/>
      <c r="J61" s="3"/>
      <c r="K61" s="416"/>
    </row>
    <row r="62" spans="1:11" ht="13.15" customHeight="1" x14ac:dyDescent="0.25">
      <c r="A62" s="494" t="s">
        <v>599</v>
      </c>
      <c r="B62" s="491"/>
      <c r="C62" s="491"/>
      <c r="E62" s="3">
        <v>346</v>
      </c>
      <c r="F62" s="3">
        <v>620</v>
      </c>
      <c r="G62" s="3">
        <v>620</v>
      </c>
      <c r="H62" s="3">
        <v>620</v>
      </c>
      <c r="I62" s="3">
        <v>620</v>
      </c>
      <c r="J62" s="3"/>
      <c r="K62" s="416"/>
    </row>
    <row r="63" spans="1:11" ht="13.15" hidden="1" customHeight="1" x14ac:dyDescent="0.2">
      <c r="A63" s="491" t="s">
        <v>371</v>
      </c>
      <c r="B63" s="3">
        <v>2</v>
      </c>
      <c r="C63" s="3">
        <v>240</v>
      </c>
      <c r="D63" s="3">
        <f>ROUND(B63*C63,0)</f>
        <v>480</v>
      </c>
      <c r="E63" s="3"/>
      <c r="F63" s="3"/>
      <c r="G63" s="3"/>
      <c r="I63" s="3"/>
      <c r="J63" s="3"/>
      <c r="K63" s="416"/>
    </row>
    <row r="64" spans="1:11" ht="13.15" hidden="1" customHeight="1" x14ac:dyDescent="0.35">
      <c r="A64" s="491" t="s">
        <v>1134</v>
      </c>
      <c r="B64" s="3">
        <v>4</v>
      </c>
      <c r="C64" s="3">
        <v>35</v>
      </c>
      <c r="D64" s="14">
        <f>ROUND(B64*C64,0)</f>
        <v>140</v>
      </c>
      <c r="E64" s="3"/>
      <c r="F64" s="3"/>
      <c r="G64" s="3"/>
      <c r="I64" s="3"/>
      <c r="J64" s="3"/>
      <c r="K64" s="416"/>
    </row>
    <row r="65" spans="1:11" ht="13.15" hidden="1" customHeight="1" x14ac:dyDescent="0.2">
      <c r="A65" s="491" t="s">
        <v>1320</v>
      </c>
      <c r="B65" s="491"/>
      <c r="C65" s="491"/>
      <c r="D65" s="3">
        <f>SUM(D63:D64)</f>
        <v>620</v>
      </c>
      <c r="E65" s="3"/>
      <c r="F65" s="3"/>
      <c r="G65" s="3"/>
      <c r="I65" s="3"/>
      <c r="J65" s="3"/>
      <c r="K65" s="416"/>
    </row>
    <row r="66" spans="1:11" ht="13.15" customHeight="1" x14ac:dyDescent="0.2">
      <c r="A66" s="491"/>
      <c r="B66" s="491"/>
      <c r="C66" s="491"/>
      <c r="E66" s="3"/>
      <c r="F66" s="3"/>
      <c r="G66" s="3"/>
      <c r="I66" s="3"/>
      <c r="J66" s="3"/>
      <c r="K66" s="416"/>
    </row>
    <row r="67" spans="1:11" ht="13.15" customHeight="1" x14ac:dyDescent="0.25">
      <c r="A67" s="494" t="s">
        <v>600</v>
      </c>
      <c r="B67" s="491"/>
      <c r="C67" s="491"/>
      <c r="E67" s="3">
        <v>2771</v>
      </c>
      <c r="F67" s="3">
        <v>3150</v>
      </c>
      <c r="G67" s="3">
        <v>3390</v>
      </c>
      <c r="H67" s="3">
        <v>3390</v>
      </c>
      <c r="I67" s="3">
        <v>3390</v>
      </c>
      <c r="J67" s="3"/>
      <c r="K67" s="416"/>
    </row>
    <row r="68" spans="1:11" ht="13.15" hidden="1" customHeight="1" x14ac:dyDescent="0.2">
      <c r="A68" s="491" t="s">
        <v>902</v>
      </c>
      <c r="B68" s="3">
        <v>6</v>
      </c>
      <c r="C68" s="3">
        <v>565</v>
      </c>
      <c r="D68" s="3">
        <f>ROUND(B68*C68,0)</f>
        <v>3390</v>
      </c>
      <c r="E68" s="3"/>
      <c r="F68" s="3"/>
      <c r="G68" s="3"/>
      <c r="I68" s="3"/>
      <c r="J68" s="3"/>
      <c r="K68" s="416"/>
    </row>
    <row r="69" spans="1:11" ht="13.15" customHeight="1" x14ac:dyDescent="0.2">
      <c r="A69" s="491"/>
      <c r="B69" s="491"/>
      <c r="C69" s="491"/>
      <c r="E69" s="3"/>
      <c r="F69" s="3"/>
      <c r="G69" s="3"/>
      <c r="I69" s="3"/>
      <c r="J69" s="3"/>
      <c r="K69" s="416"/>
    </row>
    <row r="70" spans="1:11" ht="13.5" x14ac:dyDescent="0.25">
      <c r="A70" s="494" t="s">
        <v>601</v>
      </c>
      <c r="B70" s="491"/>
      <c r="C70" s="491"/>
      <c r="E70" s="3">
        <v>8872</v>
      </c>
      <c r="F70" s="3">
        <v>9614</v>
      </c>
      <c r="G70" s="3">
        <v>8973</v>
      </c>
      <c r="H70" s="3">
        <v>8973</v>
      </c>
      <c r="I70" s="3">
        <v>8973</v>
      </c>
      <c r="J70" s="3"/>
      <c r="K70" s="416"/>
    </row>
    <row r="71" spans="1:11" hidden="1" x14ac:dyDescent="0.2">
      <c r="A71" s="16" t="s">
        <v>1536</v>
      </c>
      <c r="B71" s="3">
        <f>+D12</f>
        <v>123718</v>
      </c>
      <c r="C71" s="17">
        <v>2.316E-2</v>
      </c>
      <c r="D71" s="3">
        <f>ROUND(B71*C71,0)</f>
        <v>2865</v>
      </c>
      <c r="E71" s="3"/>
      <c r="F71" s="3"/>
      <c r="G71" s="3"/>
      <c r="I71" s="3"/>
      <c r="J71" s="3"/>
      <c r="K71" s="416"/>
    </row>
    <row r="72" spans="1:11" hidden="1" x14ac:dyDescent="0.2">
      <c r="A72" s="16" t="s">
        <v>883</v>
      </c>
      <c r="B72" s="3">
        <f>+B47</f>
        <v>199992</v>
      </c>
      <c r="C72" s="17">
        <v>2.316E-2</v>
      </c>
      <c r="D72" s="3">
        <f>ROUND(B72*C72,0)</f>
        <v>4632</v>
      </c>
      <c r="E72" s="3"/>
      <c r="F72" s="3"/>
      <c r="G72" s="3"/>
      <c r="I72" s="3"/>
      <c r="J72" s="3"/>
      <c r="K72" s="416"/>
    </row>
    <row r="73" spans="1:11" hidden="1" x14ac:dyDescent="0.2">
      <c r="A73" s="16" t="s">
        <v>1925</v>
      </c>
      <c r="B73" s="3">
        <f>ROUND(+D25,0)</f>
        <v>15407</v>
      </c>
      <c r="C73" s="17">
        <v>2.316E-2</v>
      </c>
      <c r="D73" s="3">
        <f>ROUND(B73*C73,0)</f>
        <v>357</v>
      </c>
      <c r="E73" s="3"/>
      <c r="F73" s="3"/>
      <c r="G73" s="3"/>
      <c r="I73" s="3"/>
      <c r="J73" s="3"/>
      <c r="K73" s="416"/>
    </row>
    <row r="74" spans="1:11" hidden="1" x14ac:dyDescent="0.2">
      <c r="A74" s="36">
        <v>8107</v>
      </c>
      <c r="B74" s="3">
        <f>+D28</f>
        <v>13647.6</v>
      </c>
      <c r="C74" s="17">
        <v>2.316E-2</v>
      </c>
      <c r="D74" s="3">
        <f>ROUND(B74*C74,0)</f>
        <v>316</v>
      </c>
      <c r="E74" s="3"/>
      <c r="F74" s="3"/>
      <c r="G74" s="3"/>
      <c r="I74" s="3"/>
      <c r="J74" s="3"/>
      <c r="K74" s="416"/>
    </row>
    <row r="75" spans="1:11" ht="15" hidden="1" x14ac:dyDescent="0.35">
      <c r="A75" s="16" t="s">
        <v>1926</v>
      </c>
      <c r="B75" s="3">
        <f>ROUND(+D34,0)</f>
        <v>34626</v>
      </c>
      <c r="C75" s="17">
        <v>2.316E-2</v>
      </c>
      <c r="D75" s="14">
        <f>ROUND(B75*C75,0)</f>
        <v>802</v>
      </c>
      <c r="E75" s="3"/>
      <c r="F75" s="3"/>
      <c r="G75" s="3"/>
      <c r="I75" s="3"/>
      <c r="J75" s="3"/>
      <c r="K75" s="416"/>
    </row>
    <row r="76" spans="1:11" hidden="1" x14ac:dyDescent="0.2">
      <c r="A76" s="491" t="s">
        <v>1320</v>
      </c>
      <c r="B76" s="491"/>
      <c r="C76" s="491"/>
      <c r="D76" s="3">
        <f>SUM(D71:D75)+1</f>
        <v>8973</v>
      </c>
      <c r="E76" s="3"/>
      <c r="F76" s="3"/>
      <c r="G76" s="3"/>
      <c r="I76" s="3"/>
      <c r="J76" s="3"/>
      <c r="K76" s="416"/>
    </row>
    <row r="77" spans="1:11" x14ac:dyDescent="0.2">
      <c r="A77" s="491"/>
      <c r="B77" s="491"/>
      <c r="C77" s="491"/>
      <c r="E77" s="3"/>
      <c r="F77" s="3"/>
      <c r="G77" s="3"/>
      <c r="I77" s="3"/>
      <c r="J77" s="3"/>
      <c r="K77" s="416"/>
    </row>
    <row r="78" spans="1:11" ht="13.5" x14ac:dyDescent="0.25">
      <c r="A78" s="494" t="s">
        <v>602</v>
      </c>
      <c r="B78" s="491"/>
      <c r="C78" s="491"/>
      <c r="E78" s="3">
        <v>78</v>
      </c>
      <c r="F78" s="3">
        <v>139</v>
      </c>
      <c r="G78" s="3">
        <v>139</v>
      </c>
      <c r="H78" s="3">
        <v>139</v>
      </c>
      <c r="I78" s="3">
        <v>139</v>
      </c>
      <c r="J78" s="3"/>
      <c r="K78" s="416"/>
    </row>
    <row r="79" spans="1:11" hidden="1" x14ac:dyDescent="0.2">
      <c r="A79" s="16" t="s">
        <v>1536</v>
      </c>
      <c r="B79" s="3">
        <v>2</v>
      </c>
      <c r="C79" s="3">
        <v>20</v>
      </c>
      <c r="D79" s="3">
        <f>ROUND(B79*C79,0)</f>
        <v>40</v>
      </c>
      <c r="E79" s="3"/>
      <c r="F79" s="3"/>
      <c r="G79" s="3"/>
      <c r="I79" s="3"/>
      <c r="J79" s="3"/>
      <c r="K79" s="416"/>
    </row>
    <row r="80" spans="1:11" hidden="1" x14ac:dyDescent="0.2">
      <c r="A80" s="16" t="s">
        <v>883</v>
      </c>
      <c r="B80" s="3">
        <v>4</v>
      </c>
      <c r="C80" s="3">
        <v>20</v>
      </c>
      <c r="D80" s="3">
        <f>ROUND(B80*C80,0)</f>
        <v>80</v>
      </c>
      <c r="E80" s="3"/>
      <c r="F80" s="3"/>
      <c r="G80" s="3"/>
      <c r="I80" s="3"/>
      <c r="J80" s="3"/>
      <c r="K80" s="416"/>
    </row>
    <row r="81" spans="1:11" ht="15" hidden="1" x14ac:dyDescent="0.35">
      <c r="A81" s="16" t="s">
        <v>196</v>
      </c>
      <c r="B81" s="3">
        <f>+D28</f>
        <v>13647.6</v>
      </c>
      <c r="C81" s="17">
        <v>1.4E-3</v>
      </c>
      <c r="D81" s="14">
        <f>ROUND(B81*C81,0)</f>
        <v>19</v>
      </c>
      <c r="E81" s="3"/>
      <c r="F81" s="3"/>
      <c r="G81" s="3"/>
      <c r="I81" s="3"/>
      <c r="J81" s="3"/>
      <c r="K81" s="416"/>
    </row>
    <row r="82" spans="1:11" hidden="1" x14ac:dyDescent="0.2">
      <c r="A82" s="491" t="s">
        <v>1320</v>
      </c>
      <c r="B82" s="491"/>
      <c r="C82" s="491"/>
      <c r="D82" s="3">
        <f>SUM(D79:D81)</f>
        <v>139</v>
      </c>
      <c r="E82" s="3"/>
      <c r="F82" s="3"/>
      <c r="G82" s="3"/>
      <c r="I82" s="3"/>
      <c r="J82" s="3"/>
      <c r="K82" s="416"/>
    </row>
    <row r="83" spans="1:11" x14ac:dyDescent="0.2">
      <c r="A83" s="491"/>
      <c r="B83" s="491"/>
      <c r="C83" s="491"/>
      <c r="E83" s="3"/>
      <c r="F83" s="3"/>
      <c r="G83" s="3"/>
      <c r="I83" s="3"/>
      <c r="J83" s="3"/>
      <c r="K83" s="416"/>
    </row>
    <row r="84" spans="1:11" ht="13.5" x14ac:dyDescent="0.25">
      <c r="A84" s="494" t="s">
        <v>1273</v>
      </c>
      <c r="B84" s="491"/>
      <c r="C84" s="491"/>
      <c r="E84" s="3">
        <v>1222</v>
      </c>
      <c r="F84" s="3">
        <v>1000</v>
      </c>
      <c r="G84" s="3">
        <v>1200</v>
      </c>
      <c r="H84" s="3">
        <v>1200</v>
      </c>
      <c r="I84" s="3">
        <v>1200</v>
      </c>
      <c r="J84" s="3"/>
      <c r="K84" s="3"/>
    </row>
    <row r="85" spans="1:11" x14ac:dyDescent="0.2">
      <c r="A85" s="491" t="s">
        <v>1621</v>
      </c>
      <c r="B85" s="491"/>
      <c r="C85" s="491"/>
      <c r="D85" s="3" t="s">
        <v>418</v>
      </c>
      <c r="E85" s="3"/>
      <c r="F85" s="3"/>
      <c r="G85" s="3"/>
      <c r="I85" s="3"/>
      <c r="J85" s="3"/>
      <c r="K85" s="3"/>
    </row>
    <row r="86" spans="1:11" x14ac:dyDescent="0.2">
      <c r="A86" s="491" t="s">
        <v>1700</v>
      </c>
      <c r="B86" s="491"/>
      <c r="C86" s="3"/>
      <c r="D86" s="3">
        <v>1200</v>
      </c>
      <c r="E86" s="3"/>
      <c r="F86" s="3"/>
      <c r="G86" s="3"/>
      <c r="I86" s="3"/>
      <c r="J86" s="3"/>
      <c r="K86" s="3"/>
    </row>
    <row r="87" spans="1:11" x14ac:dyDescent="0.2">
      <c r="A87" s="491"/>
      <c r="B87" s="3"/>
      <c r="C87" s="3"/>
      <c r="E87" s="3"/>
      <c r="F87" s="3"/>
      <c r="G87" s="3"/>
      <c r="I87" s="3"/>
      <c r="J87" s="3"/>
      <c r="K87" s="3"/>
    </row>
    <row r="88" spans="1:11" ht="13.5" x14ac:dyDescent="0.25">
      <c r="A88" s="494" t="s">
        <v>1274</v>
      </c>
      <c r="B88" s="491"/>
      <c r="C88" s="3"/>
      <c r="E88" s="3">
        <v>1043</v>
      </c>
      <c r="F88" s="3">
        <v>650</v>
      </c>
      <c r="G88" s="3">
        <v>1050</v>
      </c>
      <c r="H88" s="3">
        <v>1050</v>
      </c>
      <c r="I88" s="3">
        <v>1050</v>
      </c>
      <c r="J88" s="3"/>
      <c r="K88" s="3"/>
    </row>
    <row r="89" spans="1:11" x14ac:dyDescent="0.2">
      <c r="A89" s="491" t="s">
        <v>1099</v>
      </c>
      <c r="B89" s="491"/>
      <c r="C89" s="3"/>
      <c r="D89" s="3">
        <v>1050</v>
      </c>
      <c r="E89" s="3"/>
      <c r="F89" s="3"/>
      <c r="G89" s="3"/>
      <c r="I89" s="3"/>
      <c r="J89" s="3"/>
      <c r="K89" s="3"/>
    </row>
    <row r="90" spans="1:11" x14ac:dyDescent="0.2">
      <c r="A90" s="491"/>
      <c r="B90" s="491"/>
      <c r="C90" s="3"/>
      <c r="E90" s="3"/>
      <c r="F90" s="3"/>
      <c r="G90" s="3"/>
      <c r="I90" s="3"/>
      <c r="J90" s="3"/>
      <c r="K90" s="3"/>
    </row>
    <row r="91" spans="1:11" ht="13.5" x14ac:dyDescent="0.25">
      <c r="A91" s="494" t="s">
        <v>1275</v>
      </c>
      <c r="B91" s="491"/>
      <c r="C91" s="3"/>
      <c r="E91" s="3">
        <v>4911</v>
      </c>
      <c r="F91" s="3">
        <v>6500</v>
      </c>
      <c r="G91" s="3">
        <v>5000</v>
      </c>
      <c r="H91" s="3">
        <v>5000</v>
      </c>
      <c r="I91" s="3">
        <v>5000</v>
      </c>
      <c r="J91" s="3"/>
      <c r="K91" s="3"/>
    </row>
    <row r="92" spans="1:11" x14ac:dyDescent="0.2">
      <c r="A92" s="9" t="s">
        <v>1035</v>
      </c>
      <c r="B92" s="9"/>
      <c r="C92" s="3"/>
      <c r="E92" s="3"/>
      <c r="F92" s="3"/>
      <c r="G92" s="3"/>
      <c r="I92" s="3"/>
      <c r="J92" s="3"/>
      <c r="K92" s="3"/>
    </row>
    <row r="93" spans="1:11" x14ac:dyDescent="0.2">
      <c r="A93" s="9" t="s">
        <v>1622</v>
      </c>
      <c r="B93" s="9"/>
      <c r="C93" s="3"/>
      <c r="D93" s="3">
        <v>5000</v>
      </c>
      <c r="E93" s="3"/>
      <c r="F93" s="3"/>
      <c r="G93" s="3"/>
      <c r="I93" s="3"/>
      <c r="J93" s="3"/>
      <c r="K93" s="3"/>
    </row>
    <row r="94" spans="1:11" x14ac:dyDescent="0.2">
      <c r="A94" s="491" t="s">
        <v>418</v>
      </c>
      <c r="B94" s="491"/>
      <c r="C94" s="3"/>
      <c r="E94" s="3"/>
      <c r="F94" s="3"/>
      <c r="G94" s="3"/>
      <c r="I94" s="3"/>
      <c r="J94" s="3"/>
      <c r="K94" s="3"/>
    </row>
    <row r="95" spans="1:11" ht="13.5" x14ac:dyDescent="0.25">
      <c r="A95" s="494" t="s">
        <v>673</v>
      </c>
      <c r="B95" s="491"/>
      <c r="C95" s="491"/>
      <c r="D95" s="3" t="s">
        <v>418</v>
      </c>
      <c r="E95" s="3">
        <v>4017</v>
      </c>
      <c r="F95" s="3">
        <v>3302</v>
      </c>
      <c r="G95" s="3">
        <v>3072</v>
      </c>
      <c r="H95" s="3">
        <v>3072</v>
      </c>
      <c r="I95" s="3">
        <v>3072</v>
      </c>
      <c r="J95" s="3"/>
      <c r="K95" s="3"/>
    </row>
    <row r="96" spans="1:11" x14ac:dyDescent="0.2">
      <c r="A96" s="491" t="s">
        <v>1527</v>
      </c>
      <c r="B96" s="3">
        <v>1</v>
      </c>
      <c r="C96" s="491">
        <v>200</v>
      </c>
      <c r="D96" s="3">
        <f>+C96*B96</f>
        <v>200</v>
      </c>
      <c r="E96" s="3"/>
      <c r="F96" s="3"/>
      <c r="G96" s="3"/>
      <c r="I96" s="3"/>
      <c r="J96" s="3"/>
      <c r="K96" s="3"/>
    </row>
    <row r="97" spans="1:11" x14ac:dyDescent="0.2">
      <c r="A97" s="491" t="s">
        <v>1528</v>
      </c>
      <c r="B97" s="3">
        <v>2</v>
      </c>
      <c r="C97" s="3">
        <v>230</v>
      </c>
      <c r="D97" s="3">
        <f>+C97*B97</f>
        <v>460</v>
      </c>
      <c r="E97" s="3"/>
      <c r="F97" s="3"/>
      <c r="G97" s="3"/>
      <c r="I97" s="3"/>
      <c r="J97" s="3"/>
      <c r="K97" s="3"/>
    </row>
    <row r="98" spans="1:11" x14ac:dyDescent="0.2">
      <c r="A98" s="491" t="s">
        <v>1529</v>
      </c>
      <c r="B98" s="3">
        <v>4</v>
      </c>
      <c r="C98" s="3">
        <v>275</v>
      </c>
      <c r="D98" s="3">
        <f>+C98*B98</f>
        <v>1100</v>
      </c>
      <c r="E98" s="3"/>
      <c r="F98" s="3"/>
      <c r="G98" s="3"/>
      <c r="I98" s="3"/>
      <c r="J98" s="3"/>
      <c r="K98" s="3"/>
    </row>
    <row r="99" spans="1:11" x14ac:dyDescent="0.2">
      <c r="A99" s="491" t="s">
        <v>121</v>
      </c>
      <c r="B99" s="3">
        <v>4</v>
      </c>
      <c r="C99" s="3">
        <v>203</v>
      </c>
      <c r="D99" s="3">
        <f>+C99*B99</f>
        <v>812</v>
      </c>
      <c r="E99" s="3"/>
      <c r="F99" s="3"/>
      <c r="G99" s="3"/>
      <c r="I99" s="3"/>
      <c r="J99" s="3"/>
      <c r="K99" s="3"/>
    </row>
    <row r="100" spans="1:11" x14ac:dyDescent="0.2">
      <c r="A100" s="491" t="s">
        <v>403</v>
      </c>
      <c r="B100" s="3"/>
      <c r="C100" s="3"/>
      <c r="D100" s="3">
        <v>500</v>
      </c>
      <c r="E100" s="3"/>
      <c r="F100" s="3"/>
      <c r="G100" s="3"/>
      <c r="I100" s="3"/>
      <c r="J100" s="3"/>
      <c r="K100" s="3"/>
    </row>
    <row r="101" spans="1:11" s="416" customFormat="1" ht="15" x14ac:dyDescent="0.35">
      <c r="A101" s="491" t="s">
        <v>2502</v>
      </c>
      <c r="B101" s="3">
        <v>0</v>
      </c>
      <c r="C101" s="3">
        <v>115</v>
      </c>
      <c r="D101" s="14">
        <f>+C101*B101</f>
        <v>0</v>
      </c>
      <c r="E101" s="3"/>
      <c r="F101" s="3"/>
      <c r="G101" s="3"/>
      <c r="H101" s="3"/>
      <c r="I101" s="3"/>
      <c r="J101" s="3"/>
      <c r="K101" s="3"/>
    </row>
    <row r="102" spans="1:11" x14ac:dyDescent="0.2">
      <c r="A102" s="491" t="s">
        <v>1320</v>
      </c>
      <c r="B102" s="3" t="s">
        <v>418</v>
      </c>
      <c r="C102" s="3" t="s">
        <v>418</v>
      </c>
      <c r="D102" s="3">
        <f>SUM(D96:D101)</f>
        <v>3072</v>
      </c>
      <c r="E102" s="3"/>
      <c r="F102" s="3"/>
      <c r="G102" s="3"/>
      <c r="I102" s="3"/>
      <c r="J102" s="3"/>
      <c r="K102" s="3"/>
    </row>
    <row r="103" spans="1:11" x14ac:dyDescent="0.2">
      <c r="A103" s="491"/>
      <c r="B103" s="491"/>
      <c r="C103" s="491"/>
      <c r="E103" s="3"/>
      <c r="F103" s="3"/>
      <c r="G103" s="3"/>
      <c r="I103" s="3"/>
      <c r="J103" s="3"/>
      <c r="K103" s="3"/>
    </row>
    <row r="104" spans="1:11" ht="13.5" x14ac:dyDescent="0.25">
      <c r="A104" s="494" t="s">
        <v>216</v>
      </c>
      <c r="B104" s="491"/>
      <c r="C104" s="491"/>
      <c r="E104" s="3">
        <v>0</v>
      </c>
      <c r="F104" s="3">
        <v>1300</v>
      </c>
      <c r="G104" s="3">
        <v>1300</v>
      </c>
      <c r="H104" s="3">
        <v>1300</v>
      </c>
      <c r="I104" s="3">
        <v>1300</v>
      </c>
      <c r="J104" s="3"/>
      <c r="K104" s="3"/>
    </row>
    <row r="105" spans="1:11" x14ac:dyDescent="0.2">
      <c r="A105" s="491" t="s">
        <v>2273</v>
      </c>
      <c r="B105" s="491"/>
      <c r="C105" s="491"/>
      <c r="D105" s="3">
        <v>800</v>
      </c>
      <c r="E105" s="3"/>
      <c r="F105" s="3"/>
      <c r="G105" s="3"/>
      <c r="I105" s="3"/>
      <c r="J105" s="3"/>
      <c r="K105" s="3"/>
    </row>
    <row r="106" spans="1:11" ht="15" x14ac:dyDescent="0.35">
      <c r="A106" s="491" t="s">
        <v>1701</v>
      </c>
      <c r="B106" s="491"/>
      <c r="C106" s="3"/>
      <c r="D106" s="14">
        <v>500</v>
      </c>
      <c r="E106" s="3"/>
      <c r="F106" s="3"/>
      <c r="G106" s="3"/>
      <c r="I106" s="3"/>
      <c r="J106" s="3"/>
      <c r="K106" s="3"/>
    </row>
    <row r="107" spans="1:11" ht="15" x14ac:dyDescent="0.35">
      <c r="A107" s="491" t="s">
        <v>1320</v>
      </c>
      <c r="B107" s="491"/>
      <c r="C107" s="14"/>
      <c r="D107" s="3">
        <f>SUM(D105:D106)</f>
        <v>1300</v>
      </c>
      <c r="E107" s="3"/>
      <c r="F107" s="3"/>
      <c r="G107" s="3"/>
      <c r="I107" s="3"/>
      <c r="J107" s="3"/>
      <c r="K107" s="3"/>
    </row>
    <row r="108" spans="1:11" x14ac:dyDescent="0.2">
      <c r="A108" s="491"/>
      <c r="B108" s="3"/>
      <c r="C108" s="3"/>
      <c r="E108" s="3"/>
      <c r="F108" s="3"/>
      <c r="G108" s="3"/>
      <c r="I108" s="3"/>
      <c r="J108" s="3"/>
      <c r="K108" s="3"/>
    </row>
    <row r="109" spans="1:11" ht="13.5" x14ac:dyDescent="0.25">
      <c r="A109" s="494" t="s">
        <v>217</v>
      </c>
      <c r="B109" s="491"/>
      <c r="C109" s="3"/>
      <c r="E109" s="3">
        <v>3220</v>
      </c>
      <c r="F109" s="3">
        <v>3600</v>
      </c>
      <c r="G109" s="3">
        <v>3600</v>
      </c>
      <c r="H109" s="3">
        <v>3600</v>
      </c>
      <c r="I109" s="3">
        <v>3600</v>
      </c>
      <c r="J109" s="3"/>
      <c r="K109" s="3"/>
    </row>
    <row r="110" spans="1:11" x14ac:dyDescent="0.2">
      <c r="A110" s="491" t="s">
        <v>1159</v>
      </c>
      <c r="B110" s="491"/>
      <c r="C110" s="3"/>
      <c r="D110" s="3">
        <v>3600</v>
      </c>
      <c r="E110" s="3"/>
      <c r="F110" s="3"/>
      <c r="G110" s="3"/>
      <c r="I110" s="3"/>
      <c r="J110" s="3"/>
      <c r="K110" s="3"/>
    </row>
    <row r="111" spans="1:11" x14ac:dyDescent="0.2">
      <c r="A111" s="491"/>
      <c r="B111" s="491"/>
      <c r="C111" s="3"/>
      <c r="E111" s="3"/>
      <c r="F111" s="3"/>
      <c r="G111" s="3"/>
      <c r="I111" s="3"/>
      <c r="J111" s="3"/>
      <c r="K111" s="3"/>
    </row>
    <row r="112" spans="1:11" ht="13.5" x14ac:dyDescent="0.25">
      <c r="A112" s="494" t="s">
        <v>115</v>
      </c>
      <c r="B112" s="491"/>
      <c r="C112" s="3"/>
      <c r="D112" s="3">
        <v>20</v>
      </c>
      <c r="E112" s="3">
        <v>0</v>
      </c>
      <c r="F112" s="3">
        <v>20</v>
      </c>
      <c r="G112" s="3">
        <v>20</v>
      </c>
      <c r="H112" s="3">
        <v>20</v>
      </c>
      <c r="I112" s="3">
        <v>20</v>
      </c>
      <c r="J112" s="3"/>
      <c r="K112" s="3"/>
    </row>
    <row r="113" spans="1:11" x14ac:dyDescent="0.2">
      <c r="A113" s="491"/>
      <c r="B113" s="3"/>
      <c r="C113" s="21"/>
      <c r="D113" s="21"/>
      <c r="E113" s="3"/>
      <c r="F113" s="3"/>
      <c r="G113" s="3"/>
      <c r="I113" s="3"/>
      <c r="J113" s="3"/>
      <c r="K113" s="3"/>
    </row>
    <row r="114" spans="1:11" ht="13.5" x14ac:dyDescent="0.25">
      <c r="A114" s="494" t="s">
        <v>218</v>
      </c>
      <c r="B114" s="491"/>
      <c r="C114" s="3"/>
      <c r="E114" s="3">
        <v>15565</v>
      </c>
      <c r="F114" s="3">
        <v>17100</v>
      </c>
      <c r="G114" s="3">
        <v>16500</v>
      </c>
      <c r="H114" s="3">
        <v>16500</v>
      </c>
      <c r="I114" s="3">
        <v>16500</v>
      </c>
      <c r="J114" s="3"/>
      <c r="K114" s="3"/>
    </row>
    <row r="115" spans="1:11" x14ac:dyDescent="0.2">
      <c r="A115" s="491" t="s">
        <v>2125</v>
      </c>
      <c r="B115" s="491"/>
      <c r="C115" s="3"/>
      <c r="D115" s="3">
        <v>7500</v>
      </c>
      <c r="E115" s="3"/>
      <c r="F115" s="3"/>
      <c r="G115" s="3"/>
      <c r="I115" s="3"/>
      <c r="J115" s="3"/>
      <c r="K115" s="3"/>
    </row>
    <row r="116" spans="1:11" x14ac:dyDescent="0.2">
      <c r="A116" s="491" t="s">
        <v>1160</v>
      </c>
      <c r="B116" s="491"/>
      <c r="C116" s="3"/>
      <c r="D116" s="3">
        <v>6300</v>
      </c>
      <c r="E116" s="3"/>
      <c r="F116" s="3"/>
      <c r="G116" s="3"/>
      <c r="I116" s="3"/>
      <c r="J116" s="3"/>
      <c r="K116" s="3"/>
    </row>
    <row r="117" spans="1:11" ht="15" x14ac:dyDescent="0.35">
      <c r="A117" s="491" t="s">
        <v>2092</v>
      </c>
      <c r="B117" s="491"/>
      <c r="C117" s="3"/>
      <c r="D117" s="14">
        <v>2700</v>
      </c>
      <c r="E117" s="3"/>
      <c r="F117" s="3"/>
      <c r="G117" s="3"/>
      <c r="I117" s="3"/>
      <c r="J117" s="3"/>
      <c r="K117" s="3"/>
    </row>
    <row r="118" spans="1:11" ht="15" x14ac:dyDescent="0.35">
      <c r="A118" s="491" t="s">
        <v>1320</v>
      </c>
      <c r="B118" s="491"/>
      <c r="C118" s="14"/>
      <c r="D118" s="3">
        <f>SUM(D115:D117)</f>
        <v>16500</v>
      </c>
      <c r="E118" s="3"/>
      <c r="F118" s="3"/>
      <c r="G118" s="3"/>
      <c r="I118" s="3"/>
      <c r="J118" s="3"/>
      <c r="K118" s="3"/>
    </row>
    <row r="119" spans="1:11" ht="15" x14ac:dyDescent="0.35">
      <c r="A119" s="491"/>
      <c r="B119" s="491"/>
      <c r="C119" s="14"/>
      <c r="E119" s="3"/>
      <c r="F119" s="3"/>
      <c r="G119" s="3"/>
      <c r="I119" s="3"/>
      <c r="J119" s="3"/>
      <c r="K119" s="3"/>
    </row>
    <row r="120" spans="1:11" ht="13.5" x14ac:dyDescent="0.25">
      <c r="A120" s="494" t="s">
        <v>219</v>
      </c>
      <c r="B120" s="491"/>
      <c r="C120" s="491"/>
      <c r="E120" s="3">
        <v>49992</v>
      </c>
      <c r="F120" s="3">
        <v>55170</v>
      </c>
      <c r="G120" s="3">
        <v>73300</v>
      </c>
      <c r="H120" s="3">
        <v>73300</v>
      </c>
      <c r="I120" s="3">
        <v>73300</v>
      </c>
      <c r="J120" s="3"/>
      <c r="K120" s="3"/>
    </row>
    <row r="121" spans="1:11" x14ac:dyDescent="0.2">
      <c r="A121" s="491" t="s">
        <v>1702</v>
      </c>
      <c r="B121" s="52">
        <v>16000</v>
      </c>
      <c r="C121" s="15">
        <v>4.1500000000000004</v>
      </c>
      <c r="D121" s="3">
        <f>ROUND(B121*C121,0)</f>
        <v>66400</v>
      </c>
      <c r="E121" s="3"/>
      <c r="F121" s="3"/>
      <c r="G121" s="3"/>
      <c r="I121" s="3"/>
      <c r="J121" s="3"/>
      <c r="K121" s="3"/>
    </row>
    <row r="122" spans="1:11" x14ac:dyDescent="0.2">
      <c r="A122" s="491" t="s">
        <v>1703</v>
      </c>
      <c r="B122" s="3">
        <v>1200</v>
      </c>
      <c r="C122" s="15">
        <v>3.5</v>
      </c>
      <c r="D122" s="3">
        <f>ROUND(B122*C122,0)</f>
        <v>4200</v>
      </c>
      <c r="E122" s="3"/>
      <c r="F122" s="3"/>
      <c r="G122" s="3"/>
      <c r="I122" s="3"/>
      <c r="J122" s="3"/>
      <c r="K122" s="3"/>
    </row>
    <row r="123" spans="1:11" ht="15" x14ac:dyDescent="0.35">
      <c r="A123" s="491" t="s">
        <v>2274</v>
      </c>
      <c r="B123" s="3">
        <v>600</v>
      </c>
      <c r="C123" s="15">
        <v>4.5</v>
      </c>
      <c r="D123" s="14">
        <f>ROUND(B123*C123,0)</f>
        <v>2700</v>
      </c>
      <c r="E123" s="3"/>
      <c r="F123" s="3"/>
      <c r="G123" s="3"/>
      <c r="I123" s="3"/>
      <c r="J123" s="3"/>
      <c r="K123" s="3"/>
    </row>
    <row r="124" spans="1:11" x14ac:dyDescent="0.2">
      <c r="A124" s="491" t="s">
        <v>1320</v>
      </c>
      <c r="B124" s="3"/>
      <c r="C124" s="17"/>
      <c r="D124" s="3">
        <f>SUM(D121:D123)</f>
        <v>73300</v>
      </c>
      <c r="E124" s="3"/>
      <c r="F124" s="3"/>
      <c r="G124" s="3"/>
      <c r="I124" s="3"/>
      <c r="J124" s="3"/>
      <c r="K124" s="3"/>
    </row>
    <row r="125" spans="1:11" x14ac:dyDescent="0.2">
      <c r="A125" s="491"/>
      <c r="B125" s="491"/>
      <c r="C125" s="491"/>
      <c r="E125" s="3"/>
      <c r="F125" s="3"/>
      <c r="G125" s="3"/>
      <c r="I125" s="3"/>
      <c r="J125" s="3"/>
      <c r="K125" s="3"/>
    </row>
    <row r="126" spans="1:11" ht="13.5" x14ac:dyDescent="0.25">
      <c r="A126" s="494" t="s">
        <v>442</v>
      </c>
      <c r="B126" s="491"/>
      <c r="C126" s="491"/>
      <c r="E126" s="3">
        <v>4502</v>
      </c>
      <c r="F126" s="3">
        <v>4610</v>
      </c>
      <c r="G126" s="3">
        <v>4610</v>
      </c>
      <c r="H126" s="3">
        <v>4610</v>
      </c>
      <c r="I126" s="3">
        <v>4610</v>
      </c>
      <c r="J126" s="3"/>
      <c r="K126" s="3"/>
    </row>
    <row r="127" spans="1:11" x14ac:dyDescent="0.2">
      <c r="A127" s="491" t="s">
        <v>1026</v>
      </c>
      <c r="B127" s="491"/>
      <c r="C127" s="491"/>
      <c r="D127" s="3">
        <v>1850</v>
      </c>
      <c r="E127" s="3"/>
      <c r="F127" s="3"/>
      <c r="G127" s="3"/>
      <c r="I127" s="3"/>
      <c r="J127" s="3"/>
      <c r="K127" s="3"/>
    </row>
    <row r="128" spans="1:11" x14ac:dyDescent="0.2">
      <c r="A128" s="491" t="s">
        <v>2307</v>
      </c>
      <c r="B128" s="491"/>
      <c r="C128" s="3"/>
      <c r="D128" s="3">
        <v>960</v>
      </c>
      <c r="E128" s="3"/>
      <c r="F128" s="3"/>
      <c r="G128" s="3"/>
      <c r="I128" s="3"/>
      <c r="J128" s="3"/>
      <c r="K128" s="3"/>
    </row>
    <row r="129" spans="1:11" x14ac:dyDescent="0.2">
      <c r="A129" s="491" t="s">
        <v>1836</v>
      </c>
      <c r="B129" s="491"/>
      <c r="C129" s="3"/>
      <c r="D129" s="3">
        <v>1800</v>
      </c>
      <c r="E129" s="3"/>
      <c r="F129" s="3"/>
      <c r="G129" s="3"/>
      <c r="I129" s="3"/>
      <c r="J129" s="3"/>
      <c r="K129" s="3"/>
    </row>
    <row r="130" spans="1:11" ht="15" x14ac:dyDescent="0.35">
      <c r="A130" s="491" t="s">
        <v>720</v>
      </c>
      <c r="B130" s="491"/>
      <c r="C130" s="3"/>
      <c r="D130" s="14">
        <v>0</v>
      </c>
      <c r="E130" s="3"/>
      <c r="F130" s="3"/>
      <c r="G130" s="3"/>
      <c r="I130" s="3"/>
      <c r="J130" s="3"/>
      <c r="K130" s="3"/>
    </row>
    <row r="131" spans="1:11" ht="15" x14ac:dyDescent="0.35">
      <c r="A131" s="491" t="s">
        <v>1320</v>
      </c>
      <c r="B131" s="3" t="s">
        <v>418</v>
      </c>
      <c r="C131" s="14"/>
      <c r="D131" s="3">
        <f>SUM(D127:D130)</f>
        <v>4610</v>
      </c>
      <c r="E131" s="3"/>
      <c r="F131" s="3"/>
      <c r="G131" s="3"/>
      <c r="I131" s="3"/>
      <c r="J131" s="3"/>
      <c r="K131" s="3"/>
    </row>
    <row r="132" spans="1:11" x14ac:dyDescent="0.2">
      <c r="A132" s="491"/>
      <c r="B132" s="3"/>
      <c r="C132" s="3"/>
      <c r="E132" s="3"/>
      <c r="F132" s="3"/>
      <c r="G132" s="3"/>
      <c r="I132" s="3"/>
      <c r="J132" s="3"/>
      <c r="K132" s="3"/>
    </row>
    <row r="133" spans="1:11" ht="13.5" x14ac:dyDescent="0.25">
      <c r="A133" s="494" t="s">
        <v>443</v>
      </c>
      <c r="B133" s="491"/>
      <c r="C133" s="491"/>
      <c r="E133" s="3">
        <v>19316</v>
      </c>
      <c r="F133" s="3">
        <v>19826</v>
      </c>
      <c r="G133" s="3">
        <v>20711</v>
      </c>
      <c r="H133" s="3">
        <v>20711</v>
      </c>
      <c r="I133" s="3">
        <v>20711</v>
      </c>
      <c r="J133" s="3"/>
      <c r="K133" s="3"/>
    </row>
    <row r="134" spans="1:11" x14ac:dyDescent="0.2">
      <c r="A134" s="491" t="s">
        <v>528</v>
      </c>
      <c r="B134" s="491"/>
      <c r="C134" s="491"/>
      <c r="D134" s="3">
        <v>17535</v>
      </c>
      <c r="E134" s="3"/>
      <c r="F134" s="3"/>
      <c r="G134" s="3"/>
      <c r="I134" s="3"/>
      <c r="J134" s="3"/>
      <c r="K134" s="3"/>
    </row>
    <row r="135" spans="1:11" x14ac:dyDescent="0.2">
      <c r="A135" s="491" t="s">
        <v>120</v>
      </c>
      <c r="B135" s="3" t="s">
        <v>418</v>
      </c>
      <c r="C135" s="3"/>
      <c r="D135" s="3">
        <v>170</v>
      </c>
      <c r="E135" s="3"/>
      <c r="F135" s="3"/>
      <c r="G135" s="3"/>
      <c r="I135" s="3"/>
      <c r="J135" s="3"/>
      <c r="K135" s="3"/>
    </row>
    <row r="136" spans="1:11" x14ac:dyDescent="0.2">
      <c r="A136" s="491" t="s">
        <v>1976</v>
      </c>
      <c r="B136" s="3"/>
      <c r="C136" s="3"/>
      <c r="D136" s="3">
        <v>1800</v>
      </c>
      <c r="E136" s="3"/>
      <c r="F136" s="3"/>
      <c r="G136" s="3"/>
      <c r="I136" s="3"/>
      <c r="J136" s="3"/>
      <c r="K136" s="3"/>
    </row>
    <row r="137" spans="1:11" x14ac:dyDescent="0.2">
      <c r="A137" s="491" t="s">
        <v>638</v>
      </c>
      <c r="B137" s="3"/>
      <c r="C137" s="3"/>
      <c r="D137" s="3">
        <v>180</v>
      </c>
      <c r="E137" s="3"/>
      <c r="F137" s="3"/>
      <c r="G137" s="3"/>
      <c r="I137" s="3"/>
      <c r="J137" s="3"/>
      <c r="K137" s="3"/>
    </row>
    <row r="138" spans="1:11" x14ac:dyDescent="0.2">
      <c r="A138" s="491" t="s">
        <v>1370</v>
      </c>
      <c r="B138" s="3">
        <v>6</v>
      </c>
      <c r="C138" s="3">
        <v>96</v>
      </c>
      <c r="D138" s="3">
        <f>C138*B138</f>
        <v>576</v>
      </c>
      <c r="E138" s="3"/>
      <c r="F138" s="3"/>
      <c r="G138" s="3"/>
      <c r="I138" s="3"/>
      <c r="J138" s="3"/>
      <c r="K138" s="3"/>
    </row>
    <row r="139" spans="1:11" ht="15" x14ac:dyDescent="0.35">
      <c r="A139" s="491" t="s">
        <v>1509</v>
      </c>
      <c r="B139" s="3">
        <v>9</v>
      </c>
      <c r="C139" s="3">
        <v>50</v>
      </c>
      <c r="D139" s="14">
        <f>C139*B139</f>
        <v>450</v>
      </c>
      <c r="E139" s="3"/>
      <c r="F139" s="3"/>
      <c r="G139" s="3"/>
      <c r="I139" s="3"/>
      <c r="J139" s="3"/>
      <c r="K139" s="3"/>
    </row>
    <row r="140" spans="1:11" x14ac:dyDescent="0.2">
      <c r="A140" s="491" t="s">
        <v>1320</v>
      </c>
      <c r="B140" s="3"/>
      <c r="C140" s="3"/>
      <c r="D140" s="3">
        <f>SUM(D134:D139)</f>
        <v>20711</v>
      </c>
      <c r="E140" s="3"/>
      <c r="F140" s="3"/>
      <c r="G140" s="3"/>
      <c r="I140" s="3"/>
      <c r="J140" s="3"/>
      <c r="K140" s="3"/>
    </row>
    <row r="141" spans="1:11" x14ac:dyDescent="0.2">
      <c r="A141" s="491" t="s">
        <v>418</v>
      </c>
      <c r="B141" s="3"/>
      <c r="C141" s="15"/>
      <c r="E141" s="3"/>
      <c r="F141" s="3"/>
      <c r="G141" s="3"/>
      <c r="I141" s="3"/>
      <c r="J141" s="3"/>
      <c r="K141" s="3"/>
    </row>
    <row r="142" spans="1:11" ht="13.5" x14ac:dyDescent="0.25">
      <c r="A142" s="20" t="s">
        <v>444</v>
      </c>
      <c r="B142" s="491"/>
      <c r="C142" s="491"/>
      <c r="D142" s="3" t="s">
        <v>418</v>
      </c>
      <c r="E142" s="3">
        <v>7418</v>
      </c>
      <c r="F142" s="3">
        <v>10721</v>
      </c>
      <c r="G142" s="3">
        <v>11257</v>
      </c>
      <c r="H142" s="3">
        <v>11257</v>
      </c>
      <c r="I142" s="3">
        <v>11257</v>
      </c>
      <c r="J142" s="3"/>
      <c r="K142" s="3"/>
    </row>
    <row r="143" spans="1:11" x14ac:dyDescent="0.2">
      <c r="A143" s="491" t="s">
        <v>1136</v>
      </c>
      <c r="B143" s="491"/>
      <c r="C143" s="491"/>
      <c r="D143" s="3">
        <v>11257</v>
      </c>
      <c r="E143" s="3"/>
      <c r="F143" s="3"/>
      <c r="G143" s="3"/>
      <c r="I143" s="3"/>
      <c r="J143" s="3"/>
      <c r="K143" s="3"/>
    </row>
    <row r="144" spans="1:11" x14ac:dyDescent="0.2">
      <c r="A144" s="491"/>
      <c r="B144" s="491"/>
      <c r="C144" s="3"/>
      <c r="E144" s="3"/>
      <c r="F144" s="3"/>
      <c r="G144" s="3"/>
      <c r="I144" s="3"/>
      <c r="J144" s="3"/>
      <c r="K144" s="3"/>
    </row>
    <row r="145" spans="1:11" ht="13.5" x14ac:dyDescent="0.25">
      <c r="A145" s="494" t="s">
        <v>445</v>
      </c>
      <c r="B145" s="491"/>
      <c r="C145" s="3"/>
      <c r="E145" s="3">
        <v>0</v>
      </c>
      <c r="F145" s="3">
        <v>500</v>
      </c>
      <c r="G145" s="3">
        <v>500</v>
      </c>
      <c r="H145" s="3">
        <v>500</v>
      </c>
      <c r="I145" s="3">
        <v>500</v>
      </c>
      <c r="J145" s="3"/>
      <c r="K145" s="3"/>
    </row>
    <row r="146" spans="1:11" x14ac:dyDescent="0.2">
      <c r="A146" s="491" t="s">
        <v>530</v>
      </c>
      <c r="B146" s="491"/>
      <c r="C146" s="3"/>
      <c r="D146" s="3">
        <v>500</v>
      </c>
      <c r="E146" s="3"/>
      <c r="F146" s="3"/>
      <c r="G146" s="3"/>
      <c r="I146" s="3"/>
      <c r="J146" s="3"/>
      <c r="K146" s="3"/>
    </row>
    <row r="147" spans="1:11" x14ac:dyDescent="0.2">
      <c r="A147" s="491"/>
      <c r="B147" s="491"/>
      <c r="C147" s="3"/>
      <c r="E147" s="3"/>
      <c r="F147" s="3"/>
      <c r="G147" s="3"/>
      <c r="I147" s="3"/>
      <c r="J147" s="3"/>
      <c r="K147" s="3"/>
    </row>
    <row r="148" spans="1:11" ht="13.5" x14ac:dyDescent="0.25">
      <c r="A148" s="494" t="s">
        <v>309</v>
      </c>
      <c r="B148" s="491"/>
      <c r="C148" s="3"/>
      <c r="E148" s="3">
        <v>2991</v>
      </c>
      <c r="F148" s="3">
        <v>7500</v>
      </c>
      <c r="G148" s="3">
        <v>7500</v>
      </c>
      <c r="H148" s="3">
        <v>7500</v>
      </c>
      <c r="I148" s="3">
        <v>7500</v>
      </c>
      <c r="J148" s="3"/>
      <c r="K148" s="3"/>
    </row>
    <row r="149" spans="1:11" x14ac:dyDescent="0.2">
      <c r="A149" s="491" t="s">
        <v>1704</v>
      </c>
      <c r="B149" s="491"/>
      <c r="C149" s="3"/>
      <c r="D149" s="3">
        <v>5500</v>
      </c>
      <c r="E149" s="3"/>
      <c r="F149" s="3"/>
      <c r="G149" s="3"/>
      <c r="I149" s="3"/>
      <c r="J149" s="3"/>
      <c r="K149" s="3"/>
    </row>
    <row r="150" spans="1:11" x14ac:dyDescent="0.2">
      <c r="A150" s="491" t="s">
        <v>2275</v>
      </c>
      <c r="B150" s="491"/>
      <c r="C150" s="3"/>
      <c r="D150" s="37">
        <v>2000</v>
      </c>
      <c r="E150" s="3"/>
      <c r="F150" s="3"/>
      <c r="G150" s="3"/>
      <c r="I150" s="3"/>
      <c r="J150" s="3"/>
      <c r="K150" s="3"/>
    </row>
    <row r="151" spans="1:11" x14ac:dyDescent="0.2">
      <c r="A151" s="491"/>
      <c r="B151" s="491"/>
      <c r="C151" s="3"/>
      <c r="D151" s="3">
        <f>SUM(D149:D150)</f>
        <v>7500</v>
      </c>
      <c r="E151" s="3"/>
      <c r="F151" s="3"/>
      <c r="G151" s="3"/>
      <c r="I151" s="3"/>
      <c r="J151" s="3"/>
      <c r="K151" s="3"/>
    </row>
    <row r="152" spans="1:11" x14ac:dyDescent="0.2">
      <c r="A152" s="491"/>
      <c r="B152" s="491"/>
      <c r="C152" s="3"/>
      <c r="E152" s="3"/>
      <c r="F152" s="3"/>
      <c r="G152" s="3"/>
      <c r="I152" s="3"/>
      <c r="J152" s="3"/>
      <c r="K152" s="3"/>
    </row>
    <row r="153" spans="1:11" ht="13.5" x14ac:dyDescent="0.25">
      <c r="A153" s="494" t="s">
        <v>1213</v>
      </c>
      <c r="B153" s="491"/>
      <c r="C153" s="3"/>
      <c r="E153" s="3">
        <v>229</v>
      </c>
      <c r="F153" s="3">
        <v>500</v>
      </c>
      <c r="G153" s="3">
        <v>500</v>
      </c>
      <c r="H153" s="3">
        <v>500</v>
      </c>
      <c r="I153" s="3">
        <v>500</v>
      </c>
      <c r="J153" s="3"/>
      <c r="K153" s="3"/>
    </row>
    <row r="154" spans="1:11" x14ac:dyDescent="0.2">
      <c r="A154" s="491" t="s">
        <v>1705</v>
      </c>
      <c r="B154" s="491"/>
      <c r="C154" s="3"/>
      <c r="D154" s="3">
        <v>500</v>
      </c>
      <c r="E154" s="3"/>
      <c r="F154" s="3"/>
      <c r="G154" s="3"/>
      <c r="I154" s="3"/>
      <c r="J154" s="3"/>
      <c r="K154" s="3"/>
    </row>
    <row r="155" spans="1:11" ht="15" x14ac:dyDescent="0.35">
      <c r="A155" s="491" t="s">
        <v>1161</v>
      </c>
      <c r="B155" s="491"/>
      <c r="C155" s="3"/>
      <c r="D155" s="14">
        <v>0</v>
      </c>
      <c r="E155" s="3"/>
      <c r="F155" s="3"/>
      <c r="G155" s="3"/>
      <c r="I155" s="3"/>
      <c r="J155" s="3"/>
      <c r="K155" s="3"/>
    </row>
    <row r="156" spans="1:11" ht="15" x14ac:dyDescent="0.35">
      <c r="A156" s="491" t="s">
        <v>1320</v>
      </c>
      <c r="B156" s="491"/>
      <c r="C156" s="14"/>
      <c r="D156" s="3">
        <f>SUM(D154:D155)</f>
        <v>500</v>
      </c>
      <c r="E156" s="3"/>
      <c r="F156" s="3"/>
      <c r="G156" s="3"/>
      <c r="I156" s="3"/>
      <c r="J156" s="3"/>
      <c r="K156" s="3"/>
    </row>
    <row r="157" spans="1:11" x14ac:dyDescent="0.2">
      <c r="A157" s="491"/>
      <c r="B157" s="491"/>
      <c r="C157" s="3"/>
      <c r="E157" s="3"/>
      <c r="F157" s="3"/>
      <c r="G157" s="3"/>
      <c r="I157" s="3"/>
      <c r="J157" s="3"/>
      <c r="K157" s="3"/>
    </row>
    <row r="158" spans="1:11" ht="13.5" x14ac:dyDescent="0.25">
      <c r="A158" s="494" t="s">
        <v>1214</v>
      </c>
      <c r="B158" s="491"/>
      <c r="C158" s="3"/>
      <c r="E158" s="3">
        <v>43720</v>
      </c>
      <c r="F158" s="3">
        <v>30000</v>
      </c>
      <c r="G158" s="3">
        <v>38500</v>
      </c>
      <c r="H158" s="3">
        <v>38500</v>
      </c>
      <c r="I158" s="3">
        <v>38500</v>
      </c>
      <c r="J158" s="3"/>
      <c r="K158" s="3"/>
    </row>
    <row r="159" spans="1:11" x14ac:dyDescent="0.2">
      <c r="A159" s="491" t="s">
        <v>1020</v>
      </c>
      <c r="B159" s="491"/>
      <c r="C159" s="3"/>
      <c r="D159" s="3">
        <v>38500</v>
      </c>
      <c r="E159" s="3"/>
      <c r="F159" s="3"/>
      <c r="G159" s="3"/>
      <c r="I159" s="3"/>
      <c r="J159" s="3"/>
      <c r="K159" s="3"/>
    </row>
    <row r="160" spans="1:11" x14ac:dyDescent="0.2">
      <c r="A160" s="491"/>
      <c r="B160" s="3"/>
      <c r="C160" s="3"/>
      <c r="E160" s="3"/>
      <c r="F160" s="3"/>
      <c r="G160" s="3"/>
      <c r="I160" s="3"/>
      <c r="J160" s="3"/>
      <c r="K160" s="3"/>
    </row>
    <row r="161" spans="1:11" ht="13.5" x14ac:dyDescent="0.25">
      <c r="A161" s="494" t="s">
        <v>446</v>
      </c>
      <c r="B161" s="491"/>
      <c r="C161" s="3"/>
      <c r="E161" s="3">
        <v>4897</v>
      </c>
      <c r="F161" s="3">
        <v>5300</v>
      </c>
      <c r="G161" s="3">
        <v>5300</v>
      </c>
      <c r="H161" s="3">
        <v>5300</v>
      </c>
      <c r="I161" s="3">
        <v>5300</v>
      </c>
      <c r="J161" s="3"/>
      <c r="K161" s="3"/>
    </row>
    <row r="162" spans="1:11" x14ac:dyDescent="0.2">
      <c r="A162" s="491" t="s">
        <v>1706</v>
      </c>
      <c r="B162" s="491"/>
      <c r="C162" s="3"/>
      <c r="D162" s="3">
        <v>2500</v>
      </c>
      <c r="E162" s="3"/>
      <c r="F162" s="3"/>
      <c r="G162" s="3"/>
      <c r="I162" s="3"/>
      <c r="J162" s="3"/>
      <c r="K162" s="3"/>
    </row>
    <row r="163" spans="1:11" x14ac:dyDescent="0.2">
      <c r="A163" s="491" t="s">
        <v>1977</v>
      </c>
      <c r="B163" s="491"/>
      <c r="C163" s="3"/>
      <c r="D163" s="37">
        <v>2800</v>
      </c>
      <c r="E163" s="3"/>
      <c r="F163" s="3"/>
      <c r="G163" s="3"/>
      <c r="I163" s="3"/>
      <c r="J163" s="3"/>
      <c r="K163" s="3"/>
    </row>
    <row r="164" spans="1:11" s="364" customFormat="1" x14ac:dyDescent="0.2">
      <c r="A164" s="491"/>
      <c r="B164" s="491"/>
      <c r="C164" s="3"/>
      <c r="D164" s="3">
        <f>SUM(D162:D163)</f>
        <v>5300</v>
      </c>
      <c r="E164" s="3"/>
      <c r="F164" s="3"/>
      <c r="G164" s="3"/>
      <c r="H164" s="3"/>
      <c r="I164" s="3"/>
      <c r="J164" s="3"/>
      <c r="K164" s="3"/>
    </row>
    <row r="165" spans="1:11" s="364" customFormat="1" x14ac:dyDescent="0.2">
      <c r="A165" s="491"/>
      <c r="B165" s="491"/>
      <c r="C165" s="3"/>
      <c r="D165" s="4"/>
      <c r="E165" s="3"/>
      <c r="F165" s="3"/>
      <c r="G165" s="3"/>
      <c r="H165" s="3"/>
      <c r="I165" s="3"/>
      <c r="J165" s="3"/>
      <c r="K165" s="3"/>
    </row>
    <row r="166" spans="1:11" s="364" customFormat="1" ht="13.5" x14ac:dyDescent="0.25">
      <c r="A166" s="494" t="s">
        <v>575</v>
      </c>
      <c r="B166" s="491"/>
      <c r="C166" s="3"/>
      <c r="D166" s="3"/>
      <c r="E166" s="3">
        <v>0</v>
      </c>
      <c r="F166" s="3">
        <v>300</v>
      </c>
      <c r="G166" s="3">
        <v>300</v>
      </c>
      <c r="H166" s="3">
        <v>300</v>
      </c>
      <c r="I166" s="3">
        <v>300</v>
      </c>
      <c r="J166" s="3"/>
      <c r="K166" s="3"/>
    </row>
    <row r="167" spans="1:11" x14ac:dyDescent="0.2">
      <c r="A167" s="491" t="s">
        <v>1978</v>
      </c>
      <c r="B167" s="491"/>
      <c r="C167" s="3"/>
      <c r="D167" s="3">
        <v>300</v>
      </c>
      <c r="E167" s="3"/>
      <c r="F167" s="491"/>
      <c r="G167" s="491"/>
      <c r="H167" s="475"/>
      <c r="I167" s="557"/>
      <c r="J167" s="557"/>
      <c r="K167" s="3"/>
    </row>
    <row r="168" spans="1:11" x14ac:dyDescent="0.2">
      <c r="A168" s="491"/>
      <c r="B168" s="491"/>
      <c r="C168" s="3"/>
      <c r="E168" s="3"/>
      <c r="F168" s="3"/>
      <c r="G168" s="3"/>
      <c r="I168" s="3"/>
      <c r="J168" s="3"/>
      <c r="K168" s="3"/>
    </row>
    <row r="169" spans="1:11" ht="13.5" x14ac:dyDescent="0.25">
      <c r="A169" s="494" t="s">
        <v>2294</v>
      </c>
      <c r="B169" s="491"/>
      <c r="C169" s="3"/>
      <c r="E169" s="3">
        <v>0</v>
      </c>
      <c r="F169" s="3">
        <v>0</v>
      </c>
      <c r="G169" s="3">
        <v>0</v>
      </c>
      <c r="H169" s="3">
        <v>0</v>
      </c>
      <c r="I169" s="3">
        <v>0</v>
      </c>
      <c r="J169" s="3"/>
      <c r="K169" s="3"/>
    </row>
    <row r="170" spans="1:11" x14ac:dyDescent="0.2">
      <c r="A170" s="491"/>
      <c r="B170" s="491"/>
      <c r="C170" s="3"/>
      <c r="D170" s="3">
        <v>0</v>
      </c>
      <c r="E170" s="3"/>
      <c r="F170" s="491"/>
      <c r="G170" s="491"/>
      <c r="H170" s="475"/>
      <c r="I170" s="557"/>
      <c r="J170" s="557"/>
      <c r="K170" s="3"/>
    </row>
    <row r="171" spans="1:11" x14ac:dyDescent="0.2">
      <c r="A171" s="491"/>
      <c r="B171" s="491"/>
      <c r="C171" s="3"/>
      <c r="E171" s="3"/>
      <c r="F171" s="3"/>
      <c r="G171" s="3"/>
      <c r="I171" s="3"/>
      <c r="J171" s="3"/>
      <c r="K171" s="3"/>
    </row>
    <row r="172" spans="1:11" ht="13.5" x14ac:dyDescent="0.25">
      <c r="A172" s="494" t="s">
        <v>1588</v>
      </c>
      <c r="B172" s="491"/>
      <c r="C172" s="3"/>
      <c r="E172" s="3">
        <v>0</v>
      </c>
      <c r="F172" s="3">
        <v>300</v>
      </c>
      <c r="G172" s="3">
        <v>150</v>
      </c>
      <c r="H172" s="3">
        <v>150</v>
      </c>
      <c r="I172" s="3">
        <v>150</v>
      </c>
      <c r="J172" s="3"/>
      <c r="K172" s="3"/>
    </row>
    <row r="173" spans="1:11" x14ac:dyDescent="0.2">
      <c r="A173" s="491" t="s">
        <v>122</v>
      </c>
      <c r="B173" s="491"/>
      <c r="C173" s="3"/>
      <c r="D173" s="3">
        <v>150</v>
      </c>
      <c r="E173" s="3"/>
      <c r="F173" s="491"/>
      <c r="G173" s="491"/>
      <c r="H173" s="475"/>
      <c r="I173" s="557"/>
      <c r="J173" s="557"/>
      <c r="K173" s="3"/>
    </row>
    <row r="174" spans="1:11" x14ac:dyDescent="0.2">
      <c r="A174" s="491"/>
      <c r="B174" s="491"/>
      <c r="C174" s="3"/>
      <c r="E174" s="3"/>
      <c r="F174" s="3"/>
      <c r="G174" s="3"/>
      <c r="I174" s="3"/>
      <c r="J174" s="3"/>
      <c r="K174" s="3"/>
    </row>
    <row r="175" spans="1:11" ht="13.5" x14ac:dyDescent="0.25">
      <c r="A175" s="494" t="s">
        <v>1443</v>
      </c>
      <c r="B175" s="3"/>
      <c r="C175" s="491"/>
      <c r="E175" s="3">
        <v>708789</v>
      </c>
      <c r="F175" s="3">
        <v>839550</v>
      </c>
      <c r="G175" s="3">
        <v>765238</v>
      </c>
      <c r="H175" s="3">
        <v>765238</v>
      </c>
      <c r="I175" s="3">
        <v>765238</v>
      </c>
      <c r="J175" s="3"/>
      <c r="K175" s="3"/>
    </row>
    <row r="176" spans="1:11" x14ac:dyDescent="0.2">
      <c r="A176" s="34" t="s">
        <v>2468</v>
      </c>
      <c r="B176" s="3">
        <v>6600</v>
      </c>
      <c r="C176" s="15">
        <f>(80.5*5.5+83*6.5)/12</f>
        <v>81.854166666666671</v>
      </c>
      <c r="D176" s="3">
        <f>B176*C176</f>
        <v>540237.5</v>
      </c>
      <c r="E176" s="3"/>
      <c r="F176" s="491"/>
      <c r="G176" s="491"/>
      <c r="H176" s="475"/>
      <c r="I176" s="557"/>
      <c r="J176" s="557"/>
      <c r="K176" s="3"/>
    </row>
    <row r="177" spans="1:11" ht="15" x14ac:dyDescent="0.35">
      <c r="A177" s="491" t="s">
        <v>2576</v>
      </c>
      <c r="B177" s="3">
        <v>1500</v>
      </c>
      <c r="C177" s="15">
        <v>150</v>
      </c>
      <c r="D177" s="14">
        <f>B177*C177</f>
        <v>225000</v>
      </c>
      <c r="E177" s="3"/>
      <c r="F177" s="491"/>
      <c r="G177" s="491"/>
      <c r="H177" s="475"/>
      <c r="I177" s="557"/>
      <c r="J177" s="557"/>
      <c r="K177" s="3"/>
    </row>
    <row r="178" spans="1:11" x14ac:dyDescent="0.2">
      <c r="A178" s="491" t="s">
        <v>1320</v>
      </c>
      <c r="B178" s="3"/>
      <c r="C178" s="15"/>
      <c r="D178" s="3">
        <f>SUM(D176:D177)</f>
        <v>765237.5</v>
      </c>
      <c r="E178" s="3"/>
      <c r="F178" s="491"/>
      <c r="G178" s="491"/>
      <c r="H178" s="475"/>
      <c r="I178" s="557"/>
      <c r="J178" s="557"/>
      <c r="K178" s="3"/>
    </row>
    <row r="179" spans="1:11" x14ac:dyDescent="0.2">
      <c r="A179" s="491"/>
      <c r="B179" s="3"/>
      <c r="C179" s="15"/>
      <c r="E179" s="3"/>
      <c r="F179" s="491"/>
      <c r="G179" s="491"/>
      <c r="H179" s="475"/>
      <c r="I179" s="557"/>
      <c r="J179" s="557"/>
      <c r="K179" s="3"/>
    </row>
    <row r="180" spans="1:11" ht="13.5" x14ac:dyDescent="0.25">
      <c r="A180" s="116" t="s">
        <v>1762</v>
      </c>
      <c r="B180" s="3"/>
      <c r="C180" s="15"/>
      <c r="E180" s="3">
        <v>142553</v>
      </c>
      <c r="F180" s="491">
        <v>0</v>
      </c>
      <c r="G180" s="3">
        <v>147125</v>
      </c>
      <c r="H180" s="3">
        <v>147125</v>
      </c>
      <c r="I180" s="3">
        <v>147125</v>
      </c>
      <c r="J180" s="3"/>
      <c r="K180" s="3"/>
    </row>
    <row r="181" spans="1:11" ht="25.5" x14ac:dyDescent="0.2">
      <c r="A181" s="34" t="s">
        <v>2469</v>
      </c>
      <c r="B181" s="3">
        <v>1500</v>
      </c>
      <c r="C181" s="15">
        <f>(97*5.5+99*6.5)/12</f>
        <v>98.083333333333329</v>
      </c>
      <c r="D181" s="3">
        <f>B181*C181</f>
        <v>147125</v>
      </c>
      <c r="E181" s="3"/>
      <c r="F181" s="491"/>
      <c r="G181" s="491"/>
      <c r="H181" s="475"/>
      <c r="I181" s="557"/>
      <c r="J181" s="557"/>
      <c r="K181" s="3"/>
    </row>
    <row r="182" spans="1:11" x14ac:dyDescent="0.2">
      <c r="A182" s="491"/>
      <c r="B182" s="3"/>
      <c r="C182" s="15"/>
      <c r="E182" s="3"/>
      <c r="F182" s="491"/>
      <c r="G182" s="491"/>
      <c r="H182" s="475"/>
      <c r="I182" s="557"/>
      <c r="J182" s="557"/>
      <c r="K182" s="3"/>
    </row>
    <row r="183" spans="1:11" ht="13.5" x14ac:dyDescent="0.25">
      <c r="A183" s="494" t="s">
        <v>1589</v>
      </c>
      <c r="B183" s="491"/>
      <c r="C183" s="491"/>
      <c r="E183" s="3">
        <v>9220</v>
      </c>
      <c r="F183" s="3">
        <v>20340</v>
      </c>
      <c r="G183" s="3">
        <v>20340</v>
      </c>
      <c r="H183" s="3">
        <v>20340</v>
      </c>
      <c r="I183" s="3">
        <v>20340</v>
      </c>
      <c r="J183" s="3"/>
      <c r="K183" s="3"/>
    </row>
    <row r="184" spans="1:11" x14ac:dyDescent="0.2">
      <c r="A184" s="491" t="s">
        <v>1537</v>
      </c>
      <c r="B184" s="491"/>
      <c r="C184" s="491"/>
      <c r="D184" s="11">
        <v>500</v>
      </c>
      <c r="E184" s="491"/>
      <c r="F184" s="491"/>
      <c r="G184" s="491"/>
      <c r="H184" s="475"/>
      <c r="I184" s="557"/>
      <c r="J184" s="557"/>
      <c r="K184" s="3"/>
    </row>
    <row r="185" spans="1:11" x14ac:dyDescent="0.2">
      <c r="A185" s="491" t="s">
        <v>1538</v>
      </c>
      <c r="B185" s="491"/>
      <c r="C185" s="3"/>
      <c r="D185" s="3">
        <v>300</v>
      </c>
      <c r="E185" s="3"/>
      <c r="F185" s="3"/>
      <c r="G185" s="3"/>
      <c r="I185" s="3"/>
      <c r="J185" s="3"/>
      <c r="K185" s="3"/>
    </row>
    <row r="186" spans="1:11" x14ac:dyDescent="0.2">
      <c r="A186" s="491" t="s">
        <v>1539</v>
      </c>
      <c r="B186" s="491"/>
      <c r="C186" s="3"/>
      <c r="D186" s="3">
        <v>200</v>
      </c>
      <c r="E186" s="3"/>
      <c r="F186" s="3"/>
      <c r="G186" s="3"/>
      <c r="I186" s="3"/>
      <c r="J186" s="3"/>
      <c r="K186" s="3"/>
    </row>
    <row r="187" spans="1:11" x14ac:dyDescent="0.2">
      <c r="A187" s="491" t="s">
        <v>1040</v>
      </c>
      <c r="B187" s="491"/>
      <c r="C187" s="3"/>
      <c r="D187" s="3">
        <v>840</v>
      </c>
      <c r="E187" s="3"/>
      <c r="F187" s="3"/>
      <c r="G187" s="3"/>
      <c r="I187" s="3"/>
      <c r="J187" s="3"/>
      <c r="K187" s="3"/>
    </row>
    <row r="188" spans="1:11" x14ac:dyDescent="0.2">
      <c r="A188" s="491" t="s">
        <v>626</v>
      </c>
      <c r="B188" s="491"/>
      <c r="C188" s="3"/>
      <c r="D188" s="3">
        <v>500</v>
      </c>
      <c r="E188" s="3"/>
      <c r="F188" s="491"/>
      <c r="G188" s="491"/>
      <c r="H188" s="475"/>
      <c r="I188" s="557"/>
      <c r="J188" s="557"/>
      <c r="K188" s="3"/>
    </row>
    <row r="189" spans="1:11" x14ac:dyDescent="0.2">
      <c r="A189" s="491" t="s">
        <v>1281</v>
      </c>
      <c r="B189" s="491"/>
      <c r="C189" s="3"/>
      <c r="D189" s="4">
        <v>3000</v>
      </c>
      <c r="E189" s="3"/>
      <c r="F189" s="3"/>
      <c r="G189" s="3"/>
      <c r="I189" s="3"/>
      <c r="J189" s="3"/>
      <c r="K189" s="3"/>
    </row>
    <row r="190" spans="1:11" ht="15" x14ac:dyDescent="0.35">
      <c r="A190" s="491" t="s">
        <v>2126</v>
      </c>
      <c r="B190" s="491"/>
      <c r="C190" s="3"/>
      <c r="D190" s="14">
        <v>15000</v>
      </c>
      <c r="E190" s="3"/>
      <c r="F190" s="3"/>
      <c r="G190" s="3"/>
      <c r="I190" s="3"/>
      <c r="J190" s="3"/>
      <c r="K190" s="3"/>
    </row>
    <row r="191" spans="1:11" ht="15" x14ac:dyDescent="0.35">
      <c r="A191" s="491" t="s">
        <v>1320</v>
      </c>
      <c r="B191" s="491"/>
      <c r="C191" s="14"/>
      <c r="D191" s="3">
        <f>SUM(D184:D190)</f>
        <v>20340</v>
      </c>
      <c r="E191" s="3"/>
      <c r="F191" s="491"/>
      <c r="G191" s="491"/>
      <c r="H191" s="475"/>
      <c r="I191" s="557"/>
      <c r="J191" s="557"/>
      <c r="K191" s="3"/>
    </row>
    <row r="192" spans="1:11" x14ac:dyDescent="0.2">
      <c r="A192" s="491"/>
      <c r="B192" s="491"/>
      <c r="C192" s="3"/>
      <c r="E192" s="3"/>
      <c r="F192" s="491"/>
      <c r="G192" s="491"/>
      <c r="H192" s="475"/>
      <c r="I192" s="557"/>
      <c r="J192" s="557"/>
      <c r="K192" s="3"/>
    </row>
    <row r="193" spans="1:11" ht="13.5" x14ac:dyDescent="0.25">
      <c r="A193" s="494" t="s">
        <v>746</v>
      </c>
      <c r="B193" s="491"/>
      <c r="C193" s="3"/>
      <c r="E193" s="3">
        <v>29373</v>
      </c>
      <c r="F193" s="3">
        <v>42000</v>
      </c>
      <c r="G193" s="3">
        <v>42000</v>
      </c>
      <c r="H193" s="3">
        <v>42000</v>
      </c>
      <c r="I193" s="3">
        <v>42000</v>
      </c>
      <c r="J193" s="3"/>
      <c r="K193" s="3"/>
    </row>
    <row r="194" spans="1:11" x14ac:dyDescent="0.2">
      <c r="A194" s="491" t="s">
        <v>1623</v>
      </c>
      <c r="B194" s="491"/>
      <c r="C194" s="3"/>
      <c r="D194" s="3">
        <v>12000</v>
      </c>
      <c r="E194" s="3"/>
      <c r="F194" s="3"/>
      <c r="G194" s="3"/>
      <c r="I194" s="3"/>
      <c r="J194" s="3"/>
      <c r="K194" s="3"/>
    </row>
    <row r="195" spans="1:11" x14ac:dyDescent="0.2">
      <c r="A195" s="491" t="s">
        <v>1624</v>
      </c>
      <c r="B195" s="491"/>
      <c r="C195" s="3"/>
      <c r="D195" s="3">
        <v>26000</v>
      </c>
      <c r="E195" s="3"/>
      <c r="F195" s="3"/>
      <c r="G195" s="3"/>
      <c r="I195" s="3"/>
      <c r="J195" s="3"/>
      <c r="K195" s="3"/>
    </row>
    <row r="196" spans="1:11" ht="15" x14ac:dyDescent="0.35">
      <c r="A196" s="491" t="s">
        <v>1625</v>
      </c>
      <c r="B196" s="491"/>
      <c r="C196" s="3"/>
      <c r="D196" s="14">
        <v>4000</v>
      </c>
      <c r="E196" s="3"/>
      <c r="F196" s="3"/>
      <c r="G196" s="3"/>
      <c r="I196" s="3"/>
      <c r="J196" s="3"/>
      <c r="K196" s="3"/>
    </row>
    <row r="197" spans="1:11" x14ac:dyDescent="0.2">
      <c r="A197" s="491"/>
      <c r="B197" s="491"/>
      <c r="C197" s="3"/>
      <c r="D197" s="3">
        <f>SUM(D194:D196)</f>
        <v>42000</v>
      </c>
      <c r="E197" s="3"/>
      <c r="F197" s="3"/>
      <c r="G197" s="3"/>
      <c r="I197" s="3"/>
      <c r="J197" s="3"/>
      <c r="K197" s="3"/>
    </row>
    <row r="198" spans="1:11" ht="13.5" x14ac:dyDescent="0.25">
      <c r="A198" s="494"/>
      <c r="B198" s="3"/>
      <c r="C198" s="15"/>
      <c r="E198" s="3"/>
      <c r="F198" s="491"/>
      <c r="G198" s="491"/>
      <c r="H198" s="475"/>
      <c r="I198" s="557"/>
      <c r="J198" s="557"/>
      <c r="K198" s="3"/>
    </row>
    <row r="199" spans="1:11" ht="13.5" x14ac:dyDescent="0.25">
      <c r="A199" s="494" t="s">
        <v>1590</v>
      </c>
      <c r="B199" s="491"/>
      <c r="C199" s="3"/>
      <c r="E199" s="3">
        <v>26633</v>
      </c>
      <c r="F199" s="3">
        <v>76700</v>
      </c>
      <c r="G199" s="3">
        <v>76700</v>
      </c>
      <c r="H199" s="3">
        <v>76700</v>
      </c>
      <c r="I199" s="3">
        <v>76700</v>
      </c>
      <c r="J199" s="3"/>
      <c r="K199" s="3"/>
    </row>
    <row r="200" spans="1:11" x14ac:dyDescent="0.2">
      <c r="A200" s="491" t="s">
        <v>39</v>
      </c>
      <c r="B200" s="491"/>
      <c r="C200" s="3"/>
      <c r="D200" s="3">
        <v>15000</v>
      </c>
      <c r="E200" s="3"/>
      <c r="F200" s="3"/>
      <c r="G200" s="3"/>
      <c r="I200" s="3"/>
      <c r="J200" s="3"/>
      <c r="K200" s="3"/>
    </row>
    <row r="201" spans="1:11" x14ac:dyDescent="0.2">
      <c r="A201" s="491" t="s">
        <v>1041</v>
      </c>
      <c r="B201" s="491"/>
      <c r="C201" s="3"/>
      <c r="D201" s="3">
        <v>7700</v>
      </c>
      <c r="E201" s="3"/>
      <c r="F201" s="3"/>
      <c r="G201" s="3"/>
      <c r="I201" s="3"/>
      <c r="J201" s="3"/>
      <c r="K201" s="3"/>
    </row>
    <row r="202" spans="1:11" x14ac:dyDescent="0.2">
      <c r="A202" s="491" t="s">
        <v>476</v>
      </c>
      <c r="B202" s="491"/>
      <c r="C202" s="3"/>
      <c r="D202" s="3">
        <v>30000</v>
      </c>
      <c r="E202" s="3"/>
      <c r="F202" s="3"/>
      <c r="G202" s="3"/>
      <c r="I202" s="3"/>
      <c r="J202" s="3"/>
      <c r="K202" s="3"/>
    </row>
    <row r="203" spans="1:11" x14ac:dyDescent="0.2">
      <c r="A203" s="491" t="s">
        <v>97</v>
      </c>
      <c r="B203" s="491"/>
      <c r="C203" s="3"/>
      <c r="D203" s="3">
        <v>19000</v>
      </c>
      <c r="E203" s="3"/>
      <c r="F203" s="3"/>
      <c r="G203" s="3"/>
      <c r="I203" s="3"/>
      <c r="J203" s="3"/>
      <c r="K203" s="3"/>
    </row>
    <row r="204" spans="1:11" x14ac:dyDescent="0.2">
      <c r="A204" s="491" t="s">
        <v>1707</v>
      </c>
      <c r="B204" s="491"/>
      <c r="C204" s="3"/>
      <c r="D204" s="3">
        <v>4000</v>
      </c>
      <c r="E204" s="3"/>
      <c r="F204" s="3"/>
      <c r="G204" s="3"/>
      <c r="I204" s="3"/>
      <c r="J204" s="3"/>
      <c r="K204" s="3"/>
    </row>
    <row r="205" spans="1:11" ht="15" x14ac:dyDescent="0.35">
      <c r="A205" s="491" t="s">
        <v>2276</v>
      </c>
      <c r="B205" s="491"/>
      <c r="C205" s="3"/>
      <c r="D205" s="14">
        <v>1000</v>
      </c>
      <c r="E205" s="3"/>
      <c r="F205" s="3"/>
      <c r="G205" s="3"/>
      <c r="I205" s="3"/>
      <c r="J205" s="3"/>
      <c r="K205" s="3"/>
    </row>
    <row r="206" spans="1:11" ht="15" x14ac:dyDescent="0.35">
      <c r="A206" s="491" t="s">
        <v>1320</v>
      </c>
      <c r="B206" s="491"/>
      <c r="C206" s="14"/>
      <c r="D206" s="3">
        <f>SUM(D200:D205)</f>
        <v>76700</v>
      </c>
      <c r="E206" s="3"/>
      <c r="F206" s="3"/>
      <c r="G206" s="3"/>
      <c r="I206" s="3"/>
      <c r="J206" s="3"/>
      <c r="K206" s="3"/>
    </row>
    <row r="207" spans="1:11" ht="15" x14ac:dyDescent="0.35">
      <c r="A207" s="491"/>
      <c r="B207" s="491"/>
      <c r="C207" s="14"/>
      <c r="E207" s="3"/>
      <c r="F207" s="3"/>
      <c r="G207" s="3"/>
      <c r="I207" s="3"/>
      <c r="J207" s="3"/>
      <c r="K207" s="3"/>
    </row>
    <row r="208" spans="1:11" ht="15" x14ac:dyDescent="0.35">
      <c r="A208" s="494" t="s">
        <v>2005</v>
      </c>
      <c r="B208" s="491"/>
      <c r="C208" s="14"/>
      <c r="E208" s="3">
        <v>302</v>
      </c>
      <c r="F208" s="3">
        <v>250</v>
      </c>
      <c r="G208" s="3">
        <v>250</v>
      </c>
      <c r="H208" s="3">
        <v>250</v>
      </c>
      <c r="I208" s="3">
        <v>250</v>
      </c>
      <c r="J208" s="3"/>
      <c r="K208" s="3"/>
    </row>
    <row r="209" spans="1:11" ht="15" x14ac:dyDescent="0.35">
      <c r="A209" s="27" t="s">
        <v>2470</v>
      </c>
      <c r="B209" s="491"/>
      <c r="C209" s="14"/>
      <c r="D209" s="3">
        <v>250</v>
      </c>
      <c r="E209" s="3"/>
      <c r="F209" s="3"/>
      <c r="G209" s="3"/>
      <c r="I209" s="3"/>
      <c r="J209" s="3"/>
      <c r="K209" s="3"/>
    </row>
    <row r="210" spans="1:11" x14ac:dyDescent="0.2">
      <c r="A210" s="491"/>
      <c r="B210" s="491"/>
      <c r="C210" s="3"/>
      <c r="E210" s="3"/>
      <c r="F210" s="491"/>
      <c r="G210" s="491"/>
      <c r="H210" s="475"/>
      <c r="I210" s="557"/>
      <c r="J210" s="557"/>
      <c r="K210" s="3"/>
    </row>
    <row r="211" spans="1:11" ht="13.5" x14ac:dyDescent="0.25">
      <c r="A211" s="61" t="s">
        <v>1837</v>
      </c>
      <c r="B211" s="491"/>
      <c r="C211" s="3"/>
      <c r="E211" s="3">
        <v>1342</v>
      </c>
      <c r="F211" s="3">
        <v>2000</v>
      </c>
      <c r="G211" s="3">
        <v>97000</v>
      </c>
      <c r="H211" s="3">
        <v>97000</v>
      </c>
      <c r="I211" s="3">
        <v>97000</v>
      </c>
      <c r="J211" s="3"/>
      <c r="K211" s="3"/>
    </row>
    <row r="212" spans="1:11" x14ac:dyDescent="0.2">
      <c r="A212" s="491" t="s">
        <v>2471</v>
      </c>
      <c r="B212" s="491"/>
      <c r="C212" s="3"/>
      <c r="D212" s="3">
        <v>95000</v>
      </c>
      <c r="E212" s="3"/>
      <c r="F212" s="3"/>
      <c r="G212" s="3"/>
      <c r="I212" s="3"/>
      <c r="J212" s="3"/>
      <c r="K212" s="3"/>
    </row>
    <row r="213" spans="1:11" ht="15" x14ac:dyDescent="0.35">
      <c r="A213" s="491" t="s">
        <v>2472</v>
      </c>
      <c r="B213" s="491"/>
      <c r="C213" s="3"/>
      <c r="D213" s="14">
        <v>2000</v>
      </c>
      <c r="E213" s="3"/>
      <c r="F213" s="3"/>
      <c r="G213" s="3"/>
      <c r="I213" s="3"/>
      <c r="J213" s="3"/>
      <c r="K213" s="3"/>
    </row>
    <row r="214" spans="1:11" ht="15" x14ac:dyDescent="0.35">
      <c r="A214" s="491"/>
      <c r="B214" s="491"/>
      <c r="C214" s="14"/>
      <c r="D214" s="3">
        <f>SUM(D212:D213)</f>
        <v>97000</v>
      </c>
      <c r="E214" s="3"/>
      <c r="F214" s="3"/>
      <c r="G214" s="3"/>
      <c r="I214" s="3"/>
      <c r="J214" s="3"/>
      <c r="K214" s="3"/>
    </row>
    <row r="215" spans="1:11" ht="13.5" x14ac:dyDescent="0.25">
      <c r="A215" s="61" t="s">
        <v>1806</v>
      </c>
      <c r="B215" s="491"/>
      <c r="C215" s="3"/>
      <c r="E215" s="3"/>
      <c r="F215" s="3">
        <v>0</v>
      </c>
      <c r="G215" s="3">
        <v>0</v>
      </c>
      <c r="H215" s="3">
        <v>0</v>
      </c>
      <c r="I215" s="3">
        <v>0</v>
      </c>
      <c r="J215" s="3"/>
      <c r="K215" s="3"/>
    </row>
    <row r="216" spans="1:11" ht="13.5" x14ac:dyDescent="0.25">
      <c r="A216" s="61"/>
      <c r="B216" s="491"/>
      <c r="C216" s="3"/>
      <c r="E216" s="3"/>
      <c r="F216" s="491"/>
      <c r="G216" s="491"/>
      <c r="H216" s="475"/>
      <c r="I216" s="557"/>
      <c r="J216" s="557"/>
      <c r="K216" s="3"/>
    </row>
    <row r="217" spans="1:11" ht="13.5" x14ac:dyDescent="0.25">
      <c r="A217" s="494" t="s">
        <v>1761</v>
      </c>
      <c r="B217" s="491"/>
      <c r="C217" s="3"/>
      <c r="E217" s="3">
        <v>439</v>
      </c>
      <c r="F217" s="3">
        <v>0</v>
      </c>
      <c r="G217" s="3">
        <v>0</v>
      </c>
      <c r="H217" s="3">
        <v>0</v>
      </c>
      <c r="I217" s="3">
        <v>0</v>
      </c>
      <c r="J217" s="3"/>
      <c r="K217" s="3"/>
    </row>
    <row r="218" spans="1:11" x14ac:dyDescent="0.2">
      <c r="A218" s="491"/>
      <c r="B218" s="491"/>
      <c r="C218" s="3"/>
      <c r="E218" s="3"/>
      <c r="F218" s="491"/>
      <c r="G218" s="491"/>
      <c r="H218" s="475"/>
      <c r="I218" s="557"/>
      <c r="J218" s="557"/>
      <c r="K218" s="3"/>
    </row>
    <row r="219" spans="1:11" ht="13.5" x14ac:dyDescent="0.25">
      <c r="A219" s="494" t="s">
        <v>2505</v>
      </c>
      <c r="B219" s="491"/>
      <c r="C219" s="3"/>
      <c r="E219" s="3">
        <v>0</v>
      </c>
      <c r="F219" s="230">
        <v>0</v>
      </c>
      <c r="G219" s="230">
        <v>20000</v>
      </c>
      <c r="H219" s="230">
        <v>0</v>
      </c>
      <c r="I219" s="230">
        <v>0</v>
      </c>
      <c r="J219" s="230"/>
      <c r="K219" s="3"/>
    </row>
    <row r="220" spans="1:11" s="382" customFormat="1" x14ac:dyDescent="0.2">
      <c r="A220" s="27" t="s">
        <v>2481</v>
      </c>
      <c r="B220" s="491"/>
      <c r="C220" s="3"/>
      <c r="D220" s="3">
        <v>20000</v>
      </c>
      <c r="E220" s="3"/>
      <c r="F220" s="491"/>
      <c r="G220" s="491"/>
      <c r="H220" s="416"/>
      <c r="I220" s="557"/>
      <c r="J220" s="557"/>
      <c r="K220" s="3"/>
    </row>
    <row r="221" spans="1:11" s="382" customFormat="1" ht="13.5" x14ac:dyDescent="0.25">
      <c r="A221" s="494"/>
      <c r="B221" s="491"/>
      <c r="C221" s="3"/>
      <c r="D221" s="3"/>
      <c r="E221" s="3"/>
      <c r="F221" s="491"/>
      <c r="G221" s="491"/>
      <c r="H221" s="416"/>
      <c r="I221" s="557"/>
      <c r="J221" s="557"/>
      <c r="K221" s="3"/>
    </row>
    <row r="222" spans="1:11" ht="13.5" x14ac:dyDescent="0.25">
      <c r="A222" s="494" t="s">
        <v>925</v>
      </c>
      <c r="B222" s="3"/>
      <c r="C222" s="3"/>
      <c r="E222" s="3"/>
      <c r="F222" s="491"/>
      <c r="G222" s="491"/>
      <c r="H222" s="416"/>
      <c r="I222" s="557"/>
      <c r="J222" s="557"/>
      <c r="K222" s="3"/>
    </row>
    <row r="223" spans="1:11" ht="15" x14ac:dyDescent="0.35">
      <c r="A223" s="491" t="s">
        <v>1210</v>
      </c>
      <c r="B223" s="3"/>
      <c r="C223" s="3">
        <v>100000</v>
      </c>
      <c r="E223" s="471">
        <v>125000</v>
      </c>
      <c r="F223" s="471">
        <v>100000</v>
      </c>
      <c r="G223" s="471">
        <v>100000</v>
      </c>
      <c r="H223" s="471">
        <v>100000</v>
      </c>
      <c r="I223" s="471">
        <v>100000</v>
      </c>
      <c r="J223" s="471"/>
      <c r="K223" s="416"/>
    </row>
    <row r="224" spans="1:11" x14ac:dyDescent="0.2">
      <c r="A224" s="491"/>
      <c r="B224" s="491"/>
      <c r="C224" s="491"/>
      <c r="E224" s="491"/>
      <c r="F224" s="491"/>
      <c r="G224" s="491"/>
      <c r="H224" s="416"/>
      <c r="I224" s="416"/>
      <c r="J224" s="416"/>
      <c r="K224" s="416"/>
    </row>
    <row r="225" spans="1:11" x14ac:dyDescent="0.2">
      <c r="A225" s="416" t="s">
        <v>519</v>
      </c>
      <c r="B225" s="416"/>
      <c r="C225" s="416"/>
      <c r="E225" s="3">
        <f>SUM(E6:E224)</f>
        <v>1815093</v>
      </c>
      <c r="F225" s="3">
        <f t="shared" ref="F225:I225" si="1">SUM(F6:F224)</f>
        <v>1849661</v>
      </c>
      <c r="G225" s="3">
        <f t="shared" si="1"/>
        <v>2077784</v>
      </c>
      <c r="H225" s="3">
        <f t="shared" si="1"/>
        <v>2057784</v>
      </c>
      <c r="I225" s="3">
        <f t="shared" si="1"/>
        <v>2057784</v>
      </c>
      <c r="J225" s="3">
        <f>SUM(J6:J224)</f>
        <v>0</v>
      </c>
      <c r="K225" s="416"/>
    </row>
    <row r="226" spans="1:11" x14ac:dyDescent="0.2">
      <c r="A226" s="416"/>
      <c r="B226" s="416"/>
      <c r="C226" s="416"/>
      <c r="E226" s="416"/>
      <c r="F226" s="416"/>
      <c r="G226" s="416"/>
      <c r="H226" s="416"/>
      <c r="I226" s="416"/>
      <c r="J226" s="3"/>
      <c r="K226" s="416"/>
    </row>
    <row r="227" spans="1:11" x14ac:dyDescent="0.2">
      <c r="A227" s="416"/>
      <c r="B227" s="416"/>
      <c r="C227" s="416"/>
      <c r="E227" s="416"/>
      <c r="F227" s="416"/>
      <c r="G227" s="416"/>
      <c r="H227" s="416"/>
      <c r="I227" s="416"/>
      <c r="J227" s="3"/>
      <c r="K227" s="416"/>
    </row>
    <row r="228" spans="1:11" x14ac:dyDescent="0.2">
      <c r="A228" s="416" t="s">
        <v>628</v>
      </c>
      <c r="B228" s="416"/>
      <c r="C228" s="416"/>
      <c r="E228" s="3">
        <f t="shared" ref="E228:J228" si="2">SUM(E6:E82)</f>
        <v>608399</v>
      </c>
      <c r="F228" s="3">
        <f t="shared" si="2"/>
        <v>600622</v>
      </c>
      <c r="G228" s="3">
        <f t="shared" si="2"/>
        <v>614761</v>
      </c>
      <c r="H228" s="3">
        <f t="shared" si="2"/>
        <v>614761</v>
      </c>
      <c r="I228" s="3">
        <f t="shared" si="2"/>
        <v>614761</v>
      </c>
      <c r="J228" s="3">
        <f t="shared" si="2"/>
        <v>0</v>
      </c>
      <c r="K228" s="416"/>
    </row>
    <row r="229" spans="1:11" x14ac:dyDescent="0.2">
      <c r="A229" s="416" t="s">
        <v>1024</v>
      </c>
      <c r="B229" s="416"/>
      <c r="C229" s="416"/>
      <c r="E229" s="3">
        <f>SUM(E84:E208)</f>
        <v>1079913</v>
      </c>
      <c r="F229" s="3">
        <f>SUM(F84:F209)</f>
        <v>1147039</v>
      </c>
      <c r="G229" s="3">
        <f>SUM(G84:G208)</f>
        <v>1246023</v>
      </c>
      <c r="H229" s="3">
        <f>SUM(H84:H208)</f>
        <v>1246023</v>
      </c>
      <c r="I229" s="3">
        <f>SUM(I84:I208)</f>
        <v>1246023</v>
      </c>
      <c r="J229" s="3">
        <f>SUM(J84:J208)</f>
        <v>0</v>
      </c>
      <c r="K229" s="416"/>
    </row>
    <row r="230" spans="1:11" ht="15" x14ac:dyDescent="0.35">
      <c r="A230" s="416" t="s">
        <v>1025</v>
      </c>
      <c r="B230" s="416"/>
      <c r="C230" s="416"/>
      <c r="E230" s="14">
        <f>SUM(E209:E224)</f>
        <v>126781</v>
      </c>
      <c r="F230" s="14">
        <f>SUM(F209:F224)</f>
        <v>102000</v>
      </c>
      <c r="G230" s="14">
        <f>SUM(G210:G224)</f>
        <v>217000</v>
      </c>
      <c r="H230" s="14">
        <f>SUM(H210:H223)</f>
        <v>197000</v>
      </c>
      <c r="I230" s="14">
        <f>SUM(I210:I223)</f>
        <v>197000</v>
      </c>
      <c r="J230" s="14">
        <f>SUM(J211:J224)</f>
        <v>0</v>
      </c>
      <c r="K230" s="416"/>
    </row>
    <row r="231" spans="1:11" x14ac:dyDescent="0.2">
      <c r="A231" s="416" t="s">
        <v>1320</v>
      </c>
      <c r="B231" s="416"/>
      <c r="C231" s="416"/>
      <c r="E231" s="3">
        <f t="shared" ref="E231:J231" si="3">SUM(E228:E230)</f>
        <v>1815093</v>
      </c>
      <c r="F231" s="3">
        <f t="shared" si="3"/>
        <v>1849661</v>
      </c>
      <c r="G231" s="3">
        <f>SUM(G228:G230)</f>
        <v>2077784</v>
      </c>
      <c r="H231" s="3">
        <f>SUM(H228:H230)</f>
        <v>2057784</v>
      </c>
      <c r="I231" s="3">
        <f>SUM(I228:I230)</f>
        <v>2057784</v>
      </c>
      <c r="J231" s="3">
        <f t="shared" si="3"/>
        <v>0</v>
      </c>
      <c r="K231" s="416"/>
    </row>
    <row r="232" spans="1:11" x14ac:dyDescent="0.2">
      <c r="A232" s="416"/>
      <c r="B232" s="416"/>
      <c r="C232" s="416"/>
      <c r="E232" s="416"/>
      <c r="F232" s="416"/>
      <c r="G232" s="416"/>
      <c r="H232" s="416"/>
      <c r="I232" s="416"/>
      <c r="J232" s="416"/>
      <c r="K232" s="416"/>
    </row>
    <row r="233" spans="1:11" x14ac:dyDescent="0.2">
      <c r="A233" s="416"/>
      <c r="B233" s="416"/>
      <c r="C233" s="416"/>
      <c r="E233" s="416"/>
      <c r="F233" s="416"/>
      <c r="G233" s="416"/>
      <c r="H233" s="416"/>
      <c r="I233" s="416"/>
      <c r="J233" s="3">
        <f>+J230-I230</f>
        <v>-197000</v>
      </c>
      <c r="K233" s="416"/>
    </row>
    <row r="234" spans="1:11" x14ac:dyDescent="0.2">
      <c r="A234" s="416"/>
      <c r="B234" s="416"/>
      <c r="C234" s="416"/>
      <c r="E234" s="416"/>
      <c r="F234" s="416"/>
      <c r="G234" s="416"/>
      <c r="H234" s="416"/>
      <c r="I234" s="416"/>
      <c r="J234" s="416"/>
      <c r="K234" s="416"/>
    </row>
    <row r="235" spans="1:11" x14ac:dyDescent="0.2">
      <c r="A235" s="416"/>
      <c r="B235" s="416"/>
      <c r="C235" s="416"/>
      <c r="E235" s="416"/>
      <c r="F235" s="416"/>
      <c r="G235" s="416"/>
      <c r="H235" s="416"/>
      <c r="I235" s="416"/>
      <c r="J235" s="416"/>
      <c r="K235" s="416"/>
    </row>
    <row r="236" spans="1:11" x14ac:dyDescent="0.2">
      <c r="A236" s="416"/>
      <c r="B236" s="416"/>
      <c r="C236" s="416"/>
      <c r="E236" s="416"/>
      <c r="F236" s="416"/>
      <c r="G236" s="416"/>
      <c r="H236" s="416"/>
      <c r="I236" s="416"/>
      <c r="J236" s="416"/>
      <c r="K236" s="416"/>
    </row>
    <row r="237" spans="1:11" x14ac:dyDescent="0.2">
      <c r="A237" s="416"/>
      <c r="B237" s="416"/>
      <c r="C237" s="416"/>
      <c r="E237" s="416"/>
      <c r="F237" s="416"/>
      <c r="G237" s="416"/>
      <c r="H237" s="416"/>
      <c r="I237" s="416"/>
      <c r="J237" s="416"/>
      <c r="K237" s="416"/>
    </row>
    <row r="238" spans="1:11" x14ac:dyDescent="0.2">
      <c r="A238" s="416"/>
      <c r="B238" s="416"/>
      <c r="C238" s="416"/>
      <c r="E238" s="416"/>
      <c r="F238" s="416"/>
      <c r="G238" s="416"/>
      <c r="H238" s="416"/>
      <c r="I238" s="416"/>
      <c r="J238" s="416"/>
      <c r="K238" s="416"/>
    </row>
    <row r="239" spans="1:11" x14ac:dyDescent="0.2">
      <c r="A239" s="416"/>
      <c r="B239" s="416"/>
      <c r="C239" s="416"/>
      <c r="E239" s="416"/>
      <c r="F239" s="416"/>
      <c r="G239" s="416"/>
      <c r="H239" s="416"/>
      <c r="I239" s="416"/>
      <c r="J239" s="416"/>
      <c r="K239" s="416"/>
    </row>
    <row r="240" spans="1:11" x14ac:dyDescent="0.2">
      <c r="A240" s="416"/>
      <c r="B240" s="416"/>
      <c r="C240" s="416"/>
      <c r="E240" s="416"/>
      <c r="F240" s="416"/>
      <c r="G240" s="416"/>
      <c r="H240" s="416"/>
      <c r="I240" s="416"/>
      <c r="J240" s="416"/>
      <c r="K240" s="416"/>
    </row>
    <row r="241" spans="1:11" x14ac:dyDescent="0.2">
      <c r="A241" s="416"/>
      <c r="B241" s="416"/>
      <c r="C241" s="416"/>
      <c r="E241" s="416"/>
      <c r="F241" s="416"/>
      <c r="G241" s="416"/>
      <c r="H241" s="416"/>
      <c r="I241" s="416"/>
      <c r="J241" s="416"/>
      <c r="K241" s="416"/>
    </row>
    <row r="242" spans="1:11" x14ac:dyDescent="0.2">
      <c r="A242" s="416"/>
      <c r="B242" s="416"/>
      <c r="C242" s="416"/>
      <c r="E242" s="416"/>
      <c r="F242" s="416"/>
      <c r="G242" s="416"/>
      <c r="I242" s="3"/>
      <c r="J242" s="416"/>
      <c r="K242" s="416"/>
    </row>
    <row r="243" spans="1:11" x14ac:dyDescent="0.2">
      <c r="A243" s="416"/>
      <c r="B243" s="416"/>
      <c r="C243" s="416"/>
      <c r="E243" s="416"/>
      <c r="F243" s="416"/>
      <c r="G243" s="416"/>
      <c r="I243" s="3"/>
      <c r="J243" s="416"/>
      <c r="K243" s="416"/>
    </row>
    <row r="244" spans="1:11" x14ac:dyDescent="0.2">
      <c r="A244" s="416"/>
      <c r="B244" s="416"/>
      <c r="C244" s="416"/>
      <c r="E244" s="416"/>
      <c r="F244" s="416"/>
      <c r="G244" s="416"/>
      <c r="I244" s="3"/>
      <c r="J244" s="416"/>
      <c r="K244" s="416"/>
    </row>
    <row r="245" spans="1:11" x14ac:dyDescent="0.2">
      <c r="A245" s="416"/>
      <c r="B245" s="416"/>
      <c r="C245" s="416"/>
      <c r="E245" s="416"/>
      <c r="F245" s="416"/>
      <c r="G245" s="416"/>
      <c r="I245" s="3"/>
      <c r="J245" s="416"/>
      <c r="K245" s="416"/>
    </row>
    <row r="246" spans="1:11" x14ac:dyDescent="0.2">
      <c r="A246" s="416"/>
      <c r="B246" s="416"/>
      <c r="C246" s="416"/>
      <c r="E246" s="416"/>
      <c r="F246" s="416"/>
      <c r="G246" s="416"/>
      <c r="I246" s="3"/>
      <c r="J246" s="416"/>
      <c r="K246" s="416"/>
    </row>
    <row r="247" spans="1:11" x14ac:dyDescent="0.2">
      <c r="A247" s="416"/>
      <c r="B247" s="416"/>
      <c r="C247" s="416"/>
      <c r="E247" s="416"/>
      <c r="F247" s="416"/>
      <c r="G247" s="416"/>
      <c r="I247" s="3"/>
      <c r="J247" s="416"/>
      <c r="K247" s="416"/>
    </row>
    <row r="248" spans="1:11" x14ac:dyDescent="0.2">
      <c r="A248" s="416"/>
      <c r="B248" s="416"/>
      <c r="C248" s="416"/>
      <c r="E248" s="416"/>
      <c r="F248" s="416"/>
      <c r="G248" s="416"/>
      <c r="I248" s="3"/>
      <c r="J248" s="416"/>
      <c r="K248" s="416"/>
    </row>
    <row r="249" spans="1:11" x14ac:dyDescent="0.2">
      <c r="A249" s="416"/>
      <c r="B249" s="416"/>
      <c r="C249" s="416"/>
      <c r="E249" s="416"/>
      <c r="F249" s="416"/>
      <c r="G249" s="416"/>
      <c r="I249" s="3"/>
      <c r="J249" s="416"/>
      <c r="K249" s="416"/>
    </row>
    <row r="250" spans="1:11" x14ac:dyDescent="0.2">
      <c r="A250" s="416"/>
      <c r="B250" s="416"/>
      <c r="C250" s="416"/>
      <c r="E250" s="416"/>
      <c r="F250" s="416"/>
      <c r="G250" s="416"/>
      <c r="I250" s="3"/>
      <c r="J250" s="416"/>
      <c r="K250" s="416"/>
    </row>
    <row r="251" spans="1:11" x14ac:dyDescent="0.2">
      <c r="A251" s="416"/>
      <c r="B251" s="416"/>
      <c r="C251" s="416"/>
      <c r="E251" s="416"/>
      <c r="F251" s="416"/>
      <c r="G251" s="416"/>
      <c r="I251" s="3"/>
      <c r="J251" s="416"/>
      <c r="K251" s="416"/>
    </row>
    <row r="252" spans="1:11" x14ac:dyDescent="0.2">
      <c r="A252" s="416"/>
      <c r="B252" s="416"/>
      <c r="C252" s="416"/>
      <c r="E252" s="416"/>
      <c r="F252" s="416"/>
      <c r="G252" s="416"/>
      <c r="I252" s="3"/>
      <c r="J252" s="416"/>
      <c r="K252" s="416"/>
    </row>
    <row r="253" spans="1:11" x14ac:dyDescent="0.2">
      <c r="A253" s="416"/>
      <c r="B253" s="416"/>
      <c r="C253" s="416"/>
      <c r="E253" s="416"/>
      <c r="F253" s="416"/>
      <c r="G253" s="416"/>
      <c r="I253" s="3"/>
      <c r="J253" s="416"/>
      <c r="K253" s="416"/>
    </row>
    <row r="254" spans="1:11" x14ac:dyDescent="0.2">
      <c r="A254" s="416"/>
      <c r="B254" s="416"/>
      <c r="C254" s="416"/>
      <c r="E254" s="416"/>
      <c r="F254" s="416"/>
      <c r="G254" s="416"/>
      <c r="I254" s="3"/>
      <c r="J254" s="416"/>
      <c r="K254" s="416"/>
    </row>
    <row r="255" spans="1:11" x14ac:dyDescent="0.2">
      <c r="A255" s="416"/>
      <c r="B255" s="416"/>
      <c r="C255" s="416"/>
      <c r="E255" s="416"/>
      <c r="F255" s="416"/>
      <c r="G255" s="416"/>
      <c r="I255" s="3"/>
      <c r="J255" s="416"/>
      <c r="K255" s="416"/>
    </row>
    <row r="256" spans="1:11" x14ac:dyDescent="0.2">
      <c r="A256" s="416"/>
      <c r="B256" s="416"/>
      <c r="C256" s="416"/>
      <c r="E256" s="416"/>
      <c r="F256" s="416"/>
      <c r="G256" s="416"/>
      <c r="I256" s="3"/>
      <c r="J256" s="416"/>
      <c r="K256" s="416"/>
    </row>
    <row r="257" spans="1:11" x14ac:dyDescent="0.2">
      <c r="A257" s="416"/>
      <c r="B257" s="416"/>
      <c r="C257" s="416"/>
      <c r="E257" s="416"/>
      <c r="F257" s="416"/>
      <c r="G257" s="416"/>
      <c r="I257" s="3"/>
      <c r="J257" s="416"/>
      <c r="K257" s="416"/>
    </row>
    <row r="258" spans="1:11" x14ac:dyDescent="0.2">
      <c r="A258" s="416"/>
      <c r="B258" s="416"/>
      <c r="C258" s="416"/>
      <c r="E258" s="416"/>
      <c r="F258" s="416"/>
      <c r="G258" s="416"/>
      <c r="I258" s="3"/>
      <c r="J258" s="416"/>
      <c r="K258" s="416"/>
    </row>
    <row r="259" spans="1:11" x14ac:dyDescent="0.2">
      <c r="A259" s="416"/>
      <c r="B259" s="416"/>
      <c r="C259" s="416"/>
      <c r="E259" s="416"/>
      <c r="F259" s="416"/>
      <c r="G259" s="416"/>
      <c r="I259" s="3"/>
      <c r="J259" s="416"/>
      <c r="K259" s="416"/>
    </row>
    <row r="260" spans="1:11" x14ac:dyDescent="0.2">
      <c r="A260" s="416"/>
      <c r="B260" s="416"/>
      <c r="C260" s="416"/>
      <c r="E260" s="416"/>
      <c r="F260" s="416"/>
      <c r="G260" s="416"/>
      <c r="I260" s="3"/>
      <c r="J260" s="416"/>
      <c r="K260" s="416"/>
    </row>
    <row r="261" spans="1:11" x14ac:dyDescent="0.2">
      <c r="A261" s="416"/>
      <c r="B261" s="416"/>
      <c r="C261" s="416"/>
      <c r="E261" s="416"/>
      <c r="F261" s="416"/>
      <c r="G261" s="416"/>
      <c r="I261" s="3"/>
      <c r="J261" s="416"/>
      <c r="K261" s="416"/>
    </row>
    <row r="262" spans="1:11" x14ac:dyDescent="0.2">
      <c r="A262" s="416"/>
      <c r="B262" s="416"/>
      <c r="C262" s="416"/>
      <c r="E262" s="416"/>
      <c r="F262" s="416"/>
      <c r="G262" s="416"/>
      <c r="I262" s="3"/>
      <c r="J262" s="416"/>
      <c r="K262" s="416"/>
    </row>
    <row r="263" spans="1:11" x14ac:dyDescent="0.2">
      <c r="A263" s="416"/>
      <c r="B263" s="416"/>
      <c r="C263" s="416"/>
      <c r="E263" s="416"/>
      <c r="F263" s="416"/>
      <c r="G263" s="416"/>
      <c r="I263" s="3"/>
      <c r="J263" s="416"/>
      <c r="K263" s="416"/>
    </row>
    <row r="264" spans="1:11" x14ac:dyDescent="0.2">
      <c r="A264" s="416"/>
      <c r="B264" s="416"/>
      <c r="C264" s="416"/>
      <c r="E264" s="416"/>
      <c r="F264" s="416"/>
      <c r="G264" s="416"/>
      <c r="I264" s="3"/>
      <c r="J264" s="416"/>
      <c r="K264" s="416"/>
    </row>
    <row r="265" spans="1:11" x14ac:dyDescent="0.2">
      <c r="A265" s="416"/>
      <c r="B265" s="416"/>
      <c r="C265" s="416"/>
      <c r="E265" s="416"/>
      <c r="F265" s="416"/>
      <c r="G265" s="416"/>
      <c r="I265" s="3"/>
      <c r="J265" s="416"/>
      <c r="K265" s="416"/>
    </row>
    <row r="266" spans="1:11" x14ac:dyDescent="0.2">
      <c r="A266" s="416"/>
      <c r="B266" s="416"/>
      <c r="C266" s="416"/>
      <c r="E266" s="416"/>
      <c r="F266" s="416"/>
      <c r="G266" s="416"/>
      <c r="I266" s="3"/>
      <c r="J266" s="416"/>
      <c r="K266" s="416"/>
    </row>
    <row r="267" spans="1:11" x14ac:dyDescent="0.2">
      <c r="A267" s="416"/>
      <c r="B267" s="416"/>
      <c r="C267" s="416"/>
      <c r="E267" s="416"/>
      <c r="F267" s="416"/>
      <c r="G267" s="416"/>
      <c r="I267" s="3"/>
      <c r="J267" s="416"/>
      <c r="K267" s="416"/>
    </row>
    <row r="268" spans="1:11" x14ac:dyDescent="0.2">
      <c r="A268" s="416"/>
      <c r="B268" s="416"/>
      <c r="C268" s="416"/>
      <c r="E268" s="416"/>
      <c r="F268" s="416"/>
      <c r="G268" s="416"/>
      <c r="I268" s="3"/>
      <c r="J268" s="416"/>
      <c r="K268" s="416"/>
    </row>
    <row r="269" spans="1:11" x14ac:dyDescent="0.2">
      <c r="A269" s="416"/>
      <c r="B269" s="416"/>
      <c r="C269" s="416"/>
      <c r="E269" s="416"/>
      <c r="F269" s="416"/>
      <c r="G269" s="416"/>
      <c r="I269" s="3"/>
      <c r="J269" s="416"/>
      <c r="K269" s="416"/>
    </row>
    <row r="270" spans="1:11" x14ac:dyDescent="0.2">
      <c r="A270" s="416"/>
      <c r="B270" s="416"/>
      <c r="C270" s="416"/>
      <c r="E270" s="416"/>
      <c r="F270" s="416"/>
      <c r="G270" s="416"/>
      <c r="I270" s="3"/>
      <c r="J270" s="416"/>
      <c r="K270" s="416"/>
    </row>
    <row r="271" spans="1:11" x14ac:dyDescent="0.2">
      <c r="A271" s="416"/>
      <c r="B271" s="416"/>
      <c r="C271" s="416"/>
      <c r="E271" s="416"/>
      <c r="F271" s="416"/>
      <c r="G271" s="416"/>
      <c r="I271" s="3"/>
      <c r="J271" s="416"/>
      <c r="K271" s="416"/>
    </row>
    <row r="272" spans="1:11" x14ac:dyDescent="0.2">
      <c r="A272" s="416"/>
      <c r="B272" s="416"/>
      <c r="C272" s="416"/>
      <c r="E272" s="416"/>
      <c r="F272" s="416"/>
      <c r="G272" s="416"/>
      <c r="I272" s="3"/>
      <c r="J272" s="416"/>
      <c r="K272" s="416"/>
    </row>
    <row r="273" spans="1:11" x14ac:dyDescent="0.2">
      <c r="A273" s="416"/>
      <c r="B273" s="416"/>
      <c r="C273" s="416"/>
      <c r="E273" s="416"/>
      <c r="F273" s="416"/>
      <c r="G273" s="416"/>
      <c r="I273" s="3"/>
      <c r="J273" s="416"/>
      <c r="K273" s="416"/>
    </row>
    <row r="274" spans="1:11" x14ac:dyDescent="0.2">
      <c r="A274" s="416"/>
      <c r="B274" s="416"/>
      <c r="C274" s="416"/>
      <c r="E274" s="416"/>
      <c r="F274" s="416"/>
      <c r="G274" s="416"/>
      <c r="I274" s="3"/>
      <c r="J274" s="416"/>
      <c r="K274" s="416"/>
    </row>
    <row r="275" spans="1:11" x14ac:dyDescent="0.2">
      <c r="A275" s="416"/>
      <c r="B275" s="416"/>
      <c r="C275" s="416"/>
      <c r="E275" s="416"/>
      <c r="F275" s="416"/>
      <c r="G275" s="416"/>
      <c r="I275" s="3"/>
      <c r="J275" s="416"/>
      <c r="K275" s="416"/>
    </row>
    <row r="276" spans="1:11" x14ac:dyDescent="0.2">
      <c r="A276" s="416"/>
      <c r="B276" s="416"/>
      <c r="C276" s="416"/>
      <c r="E276" s="416"/>
      <c r="F276" s="416"/>
      <c r="G276" s="416"/>
      <c r="I276" s="3"/>
      <c r="J276" s="416"/>
      <c r="K276" s="416"/>
    </row>
    <row r="277" spans="1:11" x14ac:dyDescent="0.2">
      <c r="A277" s="416"/>
      <c r="B277" s="416"/>
      <c r="C277" s="416"/>
      <c r="E277" s="416"/>
      <c r="F277" s="416"/>
      <c r="G277" s="416"/>
      <c r="I277" s="3"/>
      <c r="J277" s="416"/>
      <c r="K277" s="416"/>
    </row>
    <row r="278" spans="1:11" x14ac:dyDescent="0.2">
      <c r="A278" s="416"/>
      <c r="B278" s="416"/>
      <c r="C278" s="416"/>
      <c r="E278" s="416"/>
      <c r="F278" s="416"/>
      <c r="G278" s="416"/>
      <c r="I278" s="3"/>
      <c r="J278" s="416"/>
      <c r="K278" s="416"/>
    </row>
    <row r="279" spans="1:11" x14ac:dyDescent="0.2">
      <c r="A279" s="416"/>
      <c r="B279" s="416"/>
      <c r="C279" s="416"/>
      <c r="E279" s="416"/>
      <c r="F279" s="416"/>
      <c r="G279" s="416"/>
      <c r="I279" s="3"/>
      <c r="J279" s="416"/>
      <c r="K279" s="416"/>
    </row>
    <row r="280" spans="1:11" x14ac:dyDescent="0.2">
      <c r="A280" s="416"/>
      <c r="B280" s="416"/>
      <c r="C280" s="416"/>
      <c r="E280" s="416"/>
      <c r="F280" s="416"/>
      <c r="G280" s="416"/>
      <c r="I280" s="3"/>
      <c r="J280" s="416"/>
      <c r="K280" s="416"/>
    </row>
    <row r="281" spans="1:11" x14ac:dyDescent="0.2">
      <c r="A281" s="416"/>
      <c r="B281" s="416"/>
      <c r="C281" s="416"/>
      <c r="E281" s="416"/>
      <c r="F281" s="416"/>
      <c r="G281" s="416"/>
      <c r="I281" s="3"/>
      <c r="J281" s="416"/>
      <c r="K281" s="416"/>
    </row>
    <row r="282" spans="1:11" x14ac:dyDescent="0.2">
      <c r="A282" s="416"/>
      <c r="B282" s="416"/>
      <c r="C282" s="416"/>
      <c r="E282" s="416"/>
      <c r="F282" s="416"/>
      <c r="G282" s="416"/>
      <c r="I282" s="3"/>
      <c r="J282" s="416"/>
      <c r="K282" s="416"/>
    </row>
    <row r="283" spans="1:11" x14ac:dyDescent="0.2">
      <c r="A283" s="416"/>
      <c r="B283" s="416"/>
      <c r="C283" s="416"/>
      <c r="E283" s="416"/>
      <c r="F283" s="416"/>
      <c r="G283" s="416"/>
      <c r="I283" s="3"/>
      <c r="J283" s="416"/>
      <c r="K283" s="416"/>
    </row>
    <row r="284" spans="1:11" x14ac:dyDescent="0.2">
      <c r="A284" s="416"/>
      <c r="B284" s="416"/>
      <c r="C284" s="416"/>
      <c r="E284" s="416"/>
      <c r="F284" s="416"/>
      <c r="G284" s="416"/>
      <c r="I284" s="3"/>
      <c r="J284" s="416"/>
      <c r="K284" s="416"/>
    </row>
    <row r="285" spans="1:11" x14ac:dyDescent="0.2">
      <c r="A285" s="416"/>
      <c r="B285" s="416"/>
      <c r="C285" s="416"/>
      <c r="E285" s="416"/>
      <c r="F285" s="416"/>
      <c r="G285" s="416"/>
      <c r="I285" s="3"/>
      <c r="J285" s="416"/>
      <c r="K285" s="416"/>
    </row>
    <row r="286" spans="1:11" x14ac:dyDescent="0.2">
      <c r="A286" s="416"/>
      <c r="B286" s="416"/>
      <c r="C286" s="416"/>
      <c r="E286" s="416"/>
      <c r="F286" s="416"/>
      <c r="G286" s="416"/>
      <c r="I286" s="3"/>
      <c r="J286" s="416"/>
      <c r="K286" s="416"/>
    </row>
    <row r="287" spans="1:11" x14ac:dyDescent="0.2">
      <c r="A287" s="416"/>
      <c r="B287" s="416"/>
      <c r="C287" s="416"/>
      <c r="E287" s="416"/>
      <c r="F287" s="416"/>
      <c r="G287" s="416"/>
      <c r="I287" s="3"/>
      <c r="J287" s="416"/>
      <c r="K287" s="416"/>
    </row>
    <row r="288" spans="1:11" x14ac:dyDescent="0.2">
      <c r="A288" s="416"/>
      <c r="B288" s="416"/>
      <c r="C288" s="416"/>
      <c r="E288" s="416"/>
      <c r="F288" s="416"/>
      <c r="G288" s="416"/>
      <c r="I288" s="3"/>
      <c r="J288" s="416"/>
      <c r="K288" s="416"/>
    </row>
    <row r="289" spans="1:11" x14ac:dyDescent="0.2">
      <c r="A289" s="416"/>
      <c r="B289" s="416"/>
      <c r="C289" s="416"/>
      <c r="E289" s="416"/>
      <c r="F289" s="416"/>
      <c r="G289" s="416"/>
      <c r="I289" s="3"/>
      <c r="J289" s="416"/>
      <c r="K289" s="416"/>
    </row>
    <row r="290" spans="1:11" x14ac:dyDescent="0.2">
      <c r="A290" s="416"/>
      <c r="B290" s="416"/>
      <c r="C290" s="416"/>
      <c r="E290" s="416"/>
      <c r="F290" s="416"/>
      <c r="G290" s="416"/>
      <c r="I290" s="3"/>
      <c r="J290" s="416"/>
      <c r="K290" s="416"/>
    </row>
    <row r="291" spans="1:11" x14ac:dyDescent="0.2">
      <c r="A291" s="416"/>
      <c r="B291" s="416"/>
      <c r="C291" s="416"/>
      <c r="E291" s="416"/>
      <c r="F291" s="416"/>
      <c r="G291" s="416"/>
      <c r="I291" s="3"/>
      <c r="J291" s="416"/>
      <c r="K291" s="416"/>
    </row>
    <row r="292" spans="1:11" x14ac:dyDescent="0.2">
      <c r="A292" s="416"/>
      <c r="B292" s="416"/>
      <c r="C292" s="416"/>
      <c r="E292" s="416"/>
      <c r="F292" s="416"/>
      <c r="G292" s="416"/>
      <c r="I292" s="3"/>
      <c r="J292" s="416"/>
      <c r="K292" s="416"/>
    </row>
    <row r="293" spans="1:11" x14ac:dyDescent="0.2">
      <c r="A293" s="416"/>
      <c r="B293" s="416"/>
      <c r="C293" s="416"/>
      <c r="E293" s="416"/>
      <c r="F293" s="416"/>
      <c r="G293" s="416"/>
      <c r="I293" s="3"/>
      <c r="J293" s="416"/>
      <c r="K293" s="416"/>
    </row>
    <row r="294" spans="1:11" x14ac:dyDescent="0.2">
      <c r="A294" s="416"/>
      <c r="B294" s="416"/>
      <c r="C294" s="416"/>
      <c r="E294" s="416"/>
      <c r="F294" s="416"/>
      <c r="G294" s="416"/>
      <c r="I294" s="3"/>
      <c r="J294" s="416"/>
      <c r="K294" s="416"/>
    </row>
    <row r="295" spans="1:11" x14ac:dyDescent="0.2">
      <c r="A295" s="416"/>
      <c r="B295" s="416"/>
      <c r="C295" s="416"/>
      <c r="E295" s="416"/>
      <c r="F295" s="416"/>
      <c r="G295" s="416"/>
      <c r="I295" s="3"/>
      <c r="J295" s="416"/>
      <c r="K295" s="416"/>
    </row>
    <row r="296" spans="1:11" x14ac:dyDescent="0.2">
      <c r="A296" s="416"/>
      <c r="B296" s="416"/>
      <c r="C296" s="416"/>
      <c r="E296" s="416"/>
      <c r="F296" s="416"/>
      <c r="G296" s="416"/>
      <c r="I296" s="3"/>
      <c r="J296" s="416"/>
      <c r="K296" s="416"/>
    </row>
    <row r="297" spans="1:11" x14ac:dyDescent="0.2">
      <c r="A297" s="416"/>
      <c r="B297" s="416"/>
      <c r="C297" s="416"/>
      <c r="E297" s="416"/>
      <c r="F297" s="416"/>
      <c r="G297" s="416"/>
      <c r="I297" s="3"/>
      <c r="J297" s="416"/>
      <c r="K297" s="416"/>
    </row>
    <row r="298" spans="1:11" x14ac:dyDescent="0.2">
      <c r="A298" s="416"/>
      <c r="B298" s="416"/>
      <c r="C298" s="416"/>
      <c r="E298" s="416"/>
      <c r="F298" s="416"/>
      <c r="G298" s="416"/>
      <c r="I298" s="3"/>
      <c r="J298" s="416"/>
      <c r="K298" s="416"/>
    </row>
    <row r="299" spans="1:11" x14ac:dyDescent="0.2">
      <c r="A299" s="416"/>
      <c r="B299" s="416"/>
      <c r="C299" s="416"/>
      <c r="E299" s="416"/>
      <c r="F299" s="416"/>
      <c r="G299" s="416"/>
      <c r="I299" s="3"/>
      <c r="J299" s="416"/>
      <c r="K299" s="416"/>
    </row>
    <row r="300" spans="1:11" x14ac:dyDescent="0.2">
      <c r="A300" s="416"/>
      <c r="B300" s="416"/>
      <c r="C300" s="416"/>
      <c r="E300" s="416"/>
      <c r="F300" s="416"/>
      <c r="G300" s="416"/>
      <c r="I300" s="3"/>
      <c r="J300" s="416"/>
      <c r="K300" s="416"/>
    </row>
    <row r="301" spans="1:11" x14ac:dyDescent="0.2">
      <c r="A301" s="416"/>
      <c r="B301" s="416"/>
      <c r="C301" s="416"/>
      <c r="E301" s="416"/>
      <c r="F301" s="416"/>
      <c r="G301" s="416"/>
      <c r="I301" s="3"/>
      <c r="J301" s="416"/>
      <c r="K301" s="416"/>
    </row>
    <row r="302" spans="1:11" x14ac:dyDescent="0.2">
      <c r="A302" s="416"/>
      <c r="B302" s="416"/>
      <c r="C302" s="416"/>
      <c r="E302" s="416"/>
      <c r="F302" s="416"/>
      <c r="G302" s="416"/>
      <c r="I302" s="3"/>
      <c r="J302" s="416"/>
      <c r="K302" s="416"/>
    </row>
    <row r="303" spans="1:11" x14ac:dyDescent="0.2">
      <c r="A303" s="416"/>
      <c r="B303" s="416"/>
      <c r="C303" s="416"/>
      <c r="E303" s="416"/>
      <c r="F303" s="416"/>
      <c r="G303" s="416"/>
      <c r="I303" s="3"/>
      <c r="J303" s="416"/>
      <c r="K303" s="416"/>
    </row>
    <row r="304" spans="1:11" x14ac:dyDescent="0.2">
      <c r="A304" s="416"/>
      <c r="B304" s="416"/>
      <c r="C304" s="416"/>
      <c r="E304" s="416"/>
      <c r="F304" s="416"/>
      <c r="G304" s="416"/>
      <c r="I304" s="3"/>
      <c r="J304" s="416"/>
      <c r="K304" s="416"/>
    </row>
    <row r="305" spans="1:11" x14ac:dyDescent="0.2">
      <c r="A305" s="416"/>
      <c r="B305" s="416"/>
      <c r="C305" s="416"/>
      <c r="E305" s="416"/>
      <c r="F305" s="416"/>
      <c r="G305" s="416"/>
      <c r="I305" s="3"/>
      <c r="J305" s="416"/>
      <c r="K305" s="416"/>
    </row>
    <row r="306" spans="1:11" x14ac:dyDescent="0.2">
      <c r="A306" s="416"/>
      <c r="B306" s="416"/>
      <c r="C306" s="416"/>
      <c r="E306" s="416"/>
      <c r="F306" s="416"/>
      <c r="G306" s="416"/>
      <c r="I306" s="3"/>
      <c r="J306" s="416"/>
      <c r="K306" s="416"/>
    </row>
    <row r="307" spans="1:11" x14ac:dyDescent="0.2">
      <c r="A307" s="416"/>
      <c r="B307" s="416"/>
      <c r="C307" s="416"/>
      <c r="E307" s="416"/>
      <c r="F307" s="416"/>
      <c r="G307" s="416"/>
      <c r="I307" s="3"/>
      <c r="J307" s="416"/>
      <c r="K307" s="416"/>
    </row>
    <row r="308" spans="1:11" x14ac:dyDescent="0.2">
      <c r="A308" s="416"/>
      <c r="B308" s="416"/>
      <c r="C308" s="416"/>
      <c r="E308" s="416"/>
      <c r="F308" s="416"/>
      <c r="G308" s="416"/>
      <c r="I308" s="3"/>
      <c r="J308" s="416"/>
      <c r="K308" s="416"/>
    </row>
    <row r="309" spans="1:11" x14ac:dyDescent="0.2">
      <c r="A309" s="416"/>
      <c r="B309" s="416"/>
      <c r="C309" s="416"/>
      <c r="E309" s="416"/>
      <c r="F309" s="416"/>
      <c r="G309" s="416"/>
      <c r="I309" s="3"/>
      <c r="J309" s="416"/>
      <c r="K309" s="416"/>
    </row>
    <row r="310" spans="1:11" x14ac:dyDescent="0.2">
      <c r="A310" s="416"/>
      <c r="B310" s="416"/>
      <c r="C310" s="416"/>
      <c r="E310" s="416"/>
      <c r="F310" s="416"/>
      <c r="G310" s="416"/>
      <c r="I310" s="3"/>
      <c r="J310" s="416"/>
      <c r="K310" s="416"/>
    </row>
    <row r="311" spans="1:11" x14ac:dyDescent="0.2">
      <c r="A311" s="416"/>
      <c r="B311" s="416"/>
      <c r="C311" s="416"/>
      <c r="E311" s="416"/>
      <c r="F311" s="416"/>
      <c r="G311" s="416"/>
      <c r="I311" s="3"/>
      <c r="J311" s="416"/>
      <c r="K311" s="416"/>
    </row>
    <row r="312" spans="1:11" x14ac:dyDescent="0.2">
      <c r="A312" s="416"/>
      <c r="B312" s="416"/>
      <c r="C312" s="416"/>
      <c r="E312" s="416"/>
      <c r="F312" s="416"/>
      <c r="G312" s="416"/>
      <c r="I312" s="3"/>
      <c r="J312" s="416"/>
      <c r="K312" s="416"/>
    </row>
    <row r="313" spans="1:11" x14ac:dyDescent="0.2">
      <c r="I313" s="3"/>
    </row>
    <row r="314" spans="1:11" x14ac:dyDescent="0.2">
      <c r="I314" s="3"/>
    </row>
    <row r="315" spans="1:11" x14ac:dyDescent="0.2">
      <c r="I315" s="3"/>
    </row>
    <row r="316" spans="1:11" x14ac:dyDescent="0.2">
      <c r="I316" s="3"/>
    </row>
    <row r="317" spans="1:11" x14ac:dyDescent="0.2">
      <c r="I317" s="3"/>
    </row>
    <row r="318" spans="1:11" x14ac:dyDescent="0.2">
      <c r="I318" s="3"/>
    </row>
    <row r="319" spans="1:11" x14ac:dyDescent="0.2">
      <c r="I319" s="3"/>
    </row>
    <row r="320" spans="1:11" x14ac:dyDescent="0.2">
      <c r="I320" s="3"/>
    </row>
    <row r="321" spans="9:9" x14ac:dyDescent="0.2">
      <c r="I321" s="3"/>
    </row>
    <row r="322" spans="9:9" x14ac:dyDescent="0.2">
      <c r="I322" s="3"/>
    </row>
    <row r="323" spans="9:9" x14ac:dyDescent="0.2">
      <c r="I323" s="3"/>
    </row>
    <row r="324" spans="9:9" x14ac:dyDescent="0.2">
      <c r="I324" s="3"/>
    </row>
    <row r="325" spans="9:9" x14ac:dyDescent="0.2">
      <c r="I325" s="3"/>
    </row>
    <row r="326" spans="9:9" x14ac:dyDescent="0.2">
      <c r="I326" s="3"/>
    </row>
    <row r="327" spans="9:9" x14ac:dyDescent="0.2">
      <c r="I327" s="3"/>
    </row>
    <row r="328" spans="9:9" x14ac:dyDescent="0.2">
      <c r="I328" s="3"/>
    </row>
    <row r="329" spans="9:9" x14ac:dyDescent="0.2">
      <c r="I329" s="3"/>
    </row>
  </sheetData>
  <mergeCells count="1">
    <mergeCell ref="A1:J1"/>
  </mergeCells>
  <phoneticPr fontId="0" type="noConversion"/>
  <printOptions gridLines="1"/>
  <pageMargins left="0.75" right="0.16" top="0.51" bottom="0.22" header="0.5" footer="0.5"/>
  <pageSetup scale="85" fitToHeight="14" orientation="landscape" r:id="rId1"/>
  <headerFooter alignWithMargins="0"/>
  <rowBreaks count="3" manualBreakCount="3">
    <brk id="125" max="9" man="1"/>
    <brk id="168" max="9" man="1"/>
    <brk id="210" max="9"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32"/>
  <sheetViews>
    <sheetView view="pageBreakPreview" zoomScaleNormal="100" zoomScaleSheetLayoutView="100" workbookViewId="0">
      <pane ySplit="5" topLeftCell="A238" activePane="bottomLeft" state="frozen"/>
      <selection activeCell="D43" sqref="D43"/>
      <selection pane="bottomLeft" activeCell="J6" sqref="J6:J250"/>
    </sheetView>
  </sheetViews>
  <sheetFormatPr defaultColWidth="8.85546875" defaultRowHeight="12.75" x14ac:dyDescent="0.2"/>
  <cols>
    <col min="1" max="1" width="58.85546875" style="348" customWidth="1"/>
    <col min="2" max="3" width="9.5703125" style="348" bestFit="1" customWidth="1"/>
    <col min="4" max="4" width="9.5703125" style="3" bestFit="1" customWidth="1"/>
    <col min="5" max="6" width="9.140625" style="348" bestFit="1" customWidth="1"/>
    <col min="7" max="7" width="11.7109375" style="348" bestFit="1" customWidth="1"/>
    <col min="8" max="8" width="12.42578125" style="3" customWidth="1"/>
    <col min="9" max="9" width="9.5703125" style="348" bestFit="1" customWidth="1"/>
    <col min="10" max="10" width="9.42578125" style="348" bestFit="1" customWidth="1"/>
    <col min="11" max="16384" width="8.85546875" style="348"/>
  </cols>
  <sheetData>
    <row r="1" spans="1:10" x14ac:dyDescent="0.2">
      <c r="A1" s="562" t="str">
        <f>'SUMMARY BY FUND'!A1:J1</f>
        <v>2023-24 BUDGET</v>
      </c>
      <c r="B1" s="563"/>
      <c r="C1" s="563"/>
      <c r="D1" s="563"/>
      <c r="E1" s="563"/>
      <c r="F1" s="563"/>
      <c r="G1" s="563"/>
      <c r="H1" s="563"/>
      <c r="I1" s="563"/>
      <c r="J1" s="563"/>
    </row>
    <row r="2" spans="1:10" ht="18.75" x14ac:dyDescent="0.3">
      <c r="A2" s="202" t="s">
        <v>1879</v>
      </c>
      <c r="B2" s="202"/>
      <c r="C2" s="202"/>
      <c r="D2" s="202"/>
      <c r="E2" s="202"/>
      <c r="F2" s="202"/>
    </row>
    <row r="3" spans="1:10" x14ac:dyDescent="0.2">
      <c r="B3" s="3"/>
      <c r="C3" s="3"/>
      <c r="E3" s="3"/>
      <c r="F3" s="3"/>
    </row>
    <row r="4" spans="1:10" x14ac:dyDescent="0.2">
      <c r="B4" s="3"/>
      <c r="C4" s="3"/>
      <c r="E4" s="19" t="s">
        <v>250</v>
      </c>
      <c r="F4" s="19" t="s">
        <v>251</v>
      </c>
      <c r="G4" s="19" t="s">
        <v>68</v>
      </c>
      <c r="H4" s="19" t="s">
        <v>432</v>
      </c>
      <c r="I4" s="19" t="s">
        <v>338</v>
      </c>
      <c r="J4" s="19" t="s">
        <v>370</v>
      </c>
    </row>
    <row r="5" spans="1:10" ht="15" x14ac:dyDescent="0.35">
      <c r="B5" s="3"/>
      <c r="C5" s="3"/>
      <c r="E5" s="419" t="s">
        <v>2163</v>
      </c>
      <c r="F5" s="419" t="s">
        <v>2290</v>
      </c>
      <c r="G5" s="419" t="s">
        <v>2507</v>
      </c>
      <c r="H5" s="419" t="s">
        <v>2507</v>
      </c>
      <c r="I5" s="419" t="s">
        <v>2507</v>
      </c>
      <c r="J5" s="419" t="s">
        <v>2507</v>
      </c>
    </row>
    <row r="6" spans="1:10" ht="13.5" x14ac:dyDescent="0.25">
      <c r="A6" s="372" t="s">
        <v>1549</v>
      </c>
      <c r="B6" s="3"/>
      <c r="C6" s="3"/>
      <c r="E6" s="3">
        <v>78289</v>
      </c>
      <c r="F6" s="3">
        <v>78486</v>
      </c>
      <c r="G6" s="3">
        <v>78496</v>
      </c>
      <c r="H6" s="3">
        <v>78496</v>
      </c>
      <c r="I6" s="3">
        <v>81200</v>
      </c>
      <c r="J6" s="3"/>
    </row>
    <row r="7" spans="1:10" x14ac:dyDescent="0.2">
      <c r="A7" s="27" t="s">
        <v>462</v>
      </c>
      <c r="B7" s="3">
        <v>52</v>
      </c>
      <c r="C7" s="3">
        <v>1539.2</v>
      </c>
      <c r="D7" s="3">
        <f>+C7*B7</f>
        <v>80038.400000000009</v>
      </c>
      <c r="E7" s="3"/>
      <c r="F7" s="3"/>
      <c r="G7" s="3"/>
      <c r="I7" s="3"/>
      <c r="J7" s="3"/>
    </row>
    <row r="8" spans="1:10" ht="15" x14ac:dyDescent="0.35">
      <c r="A8" s="371" t="s">
        <v>1039</v>
      </c>
      <c r="B8" s="3"/>
      <c r="C8" s="3"/>
      <c r="D8" s="14">
        <v>1162</v>
      </c>
      <c r="E8" s="3"/>
      <c r="F8" s="14"/>
      <c r="G8" s="14"/>
      <c r="H8" s="14"/>
      <c r="I8" s="14"/>
      <c r="J8" s="14"/>
    </row>
    <row r="9" spans="1:10" x14ac:dyDescent="0.2">
      <c r="A9" s="371" t="s">
        <v>1320</v>
      </c>
      <c r="B9" s="3"/>
      <c r="C9" s="3"/>
      <c r="D9" s="3">
        <f>SUM(D7:D8)</f>
        <v>81200.400000000009</v>
      </c>
      <c r="E9" s="3"/>
      <c r="F9" s="3"/>
      <c r="G9" s="3"/>
      <c r="I9" s="3"/>
      <c r="J9" s="3"/>
    </row>
    <row r="10" spans="1:10" x14ac:dyDescent="0.2">
      <c r="A10" s="491"/>
      <c r="B10" s="3"/>
      <c r="C10" s="3"/>
      <c r="E10" s="3"/>
      <c r="F10" s="3"/>
      <c r="G10" s="3"/>
      <c r="I10" s="3"/>
      <c r="J10" s="3"/>
    </row>
    <row r="11" spans="1:10" x14ac:dyDescent="0.2">
      <c r="A11" s="491"/>
      <c r="B11" s="3"/>
      <c r="C11" s="3"/>
      <c r="E11" s="3"/>
      <c r="F11" s="3"/>
      <c r="G11" s="3"/>
      <c r="I11" s="3"/>
      <c r="J11" s="3"/>
    </row>
    <row r="12" spans="1:10" ht="13.5" x14ac:dyDescent="0.25">
      <c r="A12" s="494" t="s">
        <v>1892</v>
      </c>
      <c r="B12" s="3"/>
      <c r="C12" s="3"/>
      <c r="E12" s="3">
        <v>46788</v>
      </c>
      <c r="F12" s="3">
        <v>47060</v>
      </c>
      <c r="G12" s="3">
        <v>47070</v>
      </c>
      <c r="H12" s="3">
        <v>47070</v>
      </c>
      <c r="I12" s="3">
        <v>48724</v>
      </c>
      <c r="J12" s="3"/>
    </row>
    <row r="13" spans="1:10" x14ac:dyDescent="0.2">
      <c r="A13" s="491" t="s">
        <v>2101</v>
      </c>
      <c r="B13" s="3">
        <v>52</v>
      </c>
      <c r="C13" s="3">
        <v>937</v>
      </c>
      <c r="D13" s="3">
        <f>+C13*B13</f>
        <v>48724</v>
      </c>
      <c r="E13" s="3"/>
      <c r="F13" s="3"/>
      <c r="G13" s="3"/>
      <c r="I13" s="3"/>
      <c r="J13" s="3"/>
    </row>
    <row r="14" spans="1:10" ht="15" x14ac:dyDescent="0.35">
      <c r="A14" s="491" t="s">
        <v>1039</v>
      </c>
      <c r="B14" s="3"/>
      <c r="C14" s="3"/>
      <c r="D14" s="14">
        <v>0</v>
      </c>
      <c r="E14" s="491"/>
      <c r="F14" s="491"/>
      <c r="G14" s="491"/>
      <c r="H14" s="491"/>
      <c r="I14" s="557"/>
      <c r="J14" s="557"/>
    </row>
    <row r="15" spans="1:10" x14ac:dyDescent="0.2">
      <c r="A15" s="491" t="s">
        <v>1320</v>
      </c>
      <c r="B15" s="3"/>
      <c r="C15" s="3"/>
      <c r="D15" s="3">
        <f>SUM(D13:D14)</f>
        <v>48724</v>
      </c>
      <c r="E15" s="3"/>
      <c r="F15" s="3"/>
      <c r="G15" s="3"/>
      <c r="I15" s="3"/>
      <c r="J15" s="3"/>
    </row>
    <row r="16" spans="1:10" x14ac:dyDescent="0.2">
      <c r="A16" s="491"/>
      <c r="B16" s="3"/>
      <c r="C16" s="3"/>
      <c r="E16" s="3"/>
      <c r="F16" s="3"/>
      <c r="G16" s="3"/>
      <c r="I16" s="3"/>
      <c r="J16" s="3"/>
    </row>
    <row r="17" spans="1:10" x14ac:dyDescent="0.2">
      <c r="A17" s="491"/>
      <c r="B17" s="3"/>
      <c r="C17" s="3"/>
      <c r="E17" s="3"/>
      <c r="F17" s="3"/>
      <c r="G17" s="3"/>
      <c r="I17" s="3"/>
      <c r="J17" s="3"/>
    </row>
    <row r="18" spans="1:10" ht="13.5" x14ac:dyDescent="0.25">
      <c r="A18" s="494" t="s">
        <v>1183</v>
      </c>
      <c r="B18" s="3"/>
      <c r="C18" s="3"/>
      <c r="E18" s="3">
        <v>31394</v>
      </c>
      <c r="F18" s="3">
        <v>43869</v>
      </c>
      <c r="G18" s="3">
        <v>40245</v>
      </c>
      <c r="H18" s="3">
        <v>40245</v>
      </c>
      <c r="I18" s="3">
        <v>41012</v>
      </c>
      <c r="J18" s="3"/>
    </row>
    <row r="19" spans="1:10" x14ac:dyDescent="0.2">
      <c r="A19" s="491" t="s">
        <v>2536</v>
      </c>
      <c r="B19" s="3">
        <v>441</v>
      </c>
      <c r="C19" s="15">
        <v>16.100000000000001</v>
      </c>
      <c r="D19" s="3">
        <f t="shared" ref="D19:D24" si="0">ROUND(B19*C19,0)</f>
        <v>7100</v>
      </c>
      <c r="E19" s="3"/>
      <c r="F19" s="3"/>
      <c r="G19" s="3"/>
      <c r="I19" s="3"/>
      <c r="J19" s="3"/>
    </row>
    <row r="20" spans="1:10" x14ac:dyDescent="0.2">
      <c r="A20" s="491" t="s">
        <v>2537</v>
      </c>
      <c r="B20" s="3">
        <v>360</v>
      </c>
      <c r="C20" s="15">
        <v>19</v>
      </c>
      <c r="D20" s="3">
        <f t="shared" si="0"/>
        <v>6840</v>
      </c>
      <c r="E20" s="3"/>
      <c r="F20" s="3"/>
      <c r="G20" s="3"/>
      <c r="I20" s="3"/>
      <c r="J20" s="3"/>
    </row>
    <row r="21" spans="1:10" x14ac:dyDescent="0.2">
      <c r="A21" s="491" t="s">
        <v>2538</v>
      </c>
      <c r="B21" s="3">
        <v>200</v>
      </c>
      <c r="C21" s="15">
        <v>21.74</v>
      </c>
      <c r="D21" s="3">
        <f t="shared" si="0"/>
        <v>4348</v>
      </c>
      <c r="E21" s="3"/>
      <c r="F21" s="3"/>
      <c r="G21" s="3"/>
      <c r="I21" s="3"/>
      <c r="J21" s="3"/>
    </row>
    <row r="22" spans="1:10" x14ac:dyDescent="0.2">
      <c r="A22" s="491" t="s">
        <v>2432</v>
      </c>
      <c r="B22" s="3">
        <v>1300</v>
      </c>
      <c r="C22" s="15">
        <v>17.48</v>
      </c>
      <c r="D22" s="3">
        <f t="shared" si="0"/>
        <v>22724</v>
      </c>
      <c r="E22" s="3"/>
      <c r="F22" s="3"/>
      <c r="G22" s="3"/>
      <c r="I22" s="3"/>
      <c r="J22" s="3"/>
    </row>
    <row r="23" spans="1:10" x14ac:dyDescent="0.2">
      <c r="A23" s="491" t="s">
        <v>2433</v>
      </c>
      <c r="B23" s="3">
        <v>0</v>
      </c>
      <c r="C23" s="15">
        <v>15.1</v>
      </c>
      <c r="D23" s="3">
        <f t="shared" si="0"/>
        <v>0</v>
      </c>
      <c r="E23" s="3"/>
      <c r="F23" s="3"/>
      <c r="G23" s="3"/>
      <c r="I23" s="3"/>
      <c r="J23" s="3"/>
    </row>
    <row r="24" spans="1:10" ht="15" x14ac:dyDescent="0.35">
      <c r="A24" s="491" t="s">
        <v>2434</v>
      </c>
      <c r="B24" s="3">
        <v>0</v>
      </c>
      <c r="C24" s="15">
        <v>0</v>
      </c>
      <c r="D24" s="14">
        <f t="shared" si="0"/>
        <v>0</v>
      </c>
      <c r="E24" s="3"/>
      <c r="F24" s="3"/>
      <c r="G24" s="3"/>
      <c r="I24" s="3"/>
      <c r="J24" s="3"/>
    </row>
    <row r="25" spans="1:10" x14ac:dyDescent="0.2">
      <c r="A25" s="491" t="s">
        <v>1320</v>
      </c>
      <c r="B25" s="3"/>
      <c r="C25" s="3"/>
      <c r="D25" s="3">
        <f>SUM(D19:D24)</f>
        <v>41012</v>
      </c>
      <c r="E25" s="3"/>
      <c r="F25" s="3"/>
      <c r="G25" s="3"/>
      <c r="I25" s="3"/>
      <c r="J25" s="3"/>
    </row>
    <row r="26" spans="1:10" x14ac:dyDescent="0.2">
      <c r="A26" s="491"/>
      <c r="B26" s="491"/>
      <c r="C26" s="491"/>
      <c r="E26" s="491"/>
      <c r="F26" s="491"/>
      <c r="G26" s="491"/>
      <c r="H26" s="491"/>
      <c r="I26" s="557"/>
      <c r="J26" s="557"/>
    </row>
    <row r="27" spans="1:10" s="366" customFormat="1" ht="13.5" x14ac:dyDescent="0.25">
      <c r="A27" s="494" t="s">
        <v>11</v>
      </c>
      <c r="B27" s="491"/>
      <c r="C27" s="491"/>
      <c r="D27" s="3"/>
      <c r="E27" s="3">
        <v>548</v>
      </c>
      <c r="F27" s="3">
        <v>599</v>
      </c>
      <c r="G27" s="3">
        <v>599</v>
      </c>
      <c r="H27" s="3">
        <v>599</v>
      </c>
      <c r="I27" s="3">
        <v>599</v>
      </c>
      <c r="J27" s="3"/>
    </row>
    <row r="28" spans="1:10" x14ac:dyDescent="0.2">
      <c r="A28" s="491" t="s">
        <v>2539</v>
      </c>
      <c r="B28" s="3">
        <v>38</v>
      </c>
      <c r="C28" s="15">
        <v>15.75</v>
      </c>
      <c r="D28" s="3">
        <f>+ROUND(C28*B28,0)</f>
        <v>599</v>
      </c>
      <c r="E28" s="3"/>
      <c r="F28" s="3"/>
      <c r="G28" s="3"/>
      <c r="I28" s="3"/>
      <c r="J28" s="3"/>
    </row>
    <row r="29" spans="1:10" x14ac:dyDescent="0.2">
      <c r="A29" s="491"/>
      <c r="B29" s="3"/>
      <c r="C29" s="15"/>
      <c r="E29" s="3"/>
      <c r="F29" s="3"/>
      <c r="G29" s="3"/>
      <c r="I29" s="3"/>
      <c r="J29" s="3"/>
    </row>
    <row r="30" spans="1:10" ht="13.5" x14ac:dyDescent="0.25">
      <c r="A30" s="494" t="s">
        <v>12</v>
      </c>
      <c r="B30" s="491"/>
      <c r="C30" s="491"/>
      <c r="E30" s="3">
        <v>11976</v>
      </c>
      <c r="F30" s="3">
        <v>13013</v>
      </c>
      <c r="G30" s="3">
        <v>12738</v>
      </c>
      <c r="H30" s="3">
        <v>12738</v>
      </c>
      <c r="I30" s="3">
        <v>13129</v>
      </c>
      <c r="J30" s="3"/>
    </row>
    <row r="31" spans="1:10" x14ac:dyDescent="0.2">
      <c r="A31" s="16" t="s">
        <v>1536</v>
      </c>
      <c r="B31" s="3">
        <f>+D9</f>
        <v>81200.400000000009</v>
      </c>
      <c r="C31" s="17">
        <v>7.6499999999999999E-2</v>
      </c>
      <c r="D31" s="3">
        <f>ROUND(B31*C31,0)+6</f>
        <v>6218</v>
      </c>
      <c r="E31" s="3"/>
      <c r="F31" s="3"/>
      <c r="G31" s="3"/>
      <c r="I31" s="3"/>
      <c r="J31" s="3"/>
    </row>
    <row r="32" spans="1:10" x14ac:dyDescent="0.2">
      <c r="A32" s="16" t="s">
        <v>883</v>
      </c>
      <c r="B32" s="3">
        <f>+D15</f>
        <v>48724</v>
      </c>
      <c r="C32" s="17">
        <v>7.6499999999999999E-2</v>
      </c>
      <c r="D32" s="3">
        <f>ROUND(B32*C32,0)</f>
        <v>3727</v>
      </c>
      <c r="E32" s="3"/>
      <c r="F32" s="3"/>
      <c r="G32" s="3"/>
      <c r="I32" s="3"/>
      <c r="J32" s="3"/>
    </row>
    <row r="33" spans="1:10" x14ac:dyDescent="0.2">
      <c r="A33" s="16" t="s">
        <v>196</v>
      </c>
      <c r="B33" s="3">
        <f>+D25</f>
        <v>41012</v>
      </c>
      <c r="C33" s="17">
        <v>7.6499999999999999E-2</v>
      </c>
      <c r="D33" s="3">
        <f>ROUND(B33*C33,0)</f>
        <v>3137</v>
      </c>
      <c r="E33" s="3"/>
      <c r="F33" s="3"/>
      <c r="G33" s="3"/>
      <c r="I33" s="3"/>
      <c r="J33" s="3"/>
    </row>
    <row r="34" spans="1:10" ht="15" x14ac:dyDescent="0.35">
      <c r="A34" s="16" t="s">
        <v>197</v>
      </c>
      <c r="B34" s="3">
        <f>+D28</f>
        <v>599</v>
      </c>
      <c r="C34" s="17">
        <v>7.6499999999999999E-2</v>
      </c>
      <c r="D34" s="14">
        <f>ROUND(B34*C34,0)</f>
        <v>46</v>
      </c>
      <c r="E34" s="3"/>
      <c r="F34" s="3"/>
      <c r="G34" s="3"/>
      <c r="I34" s="3"/>
      <c r="J34" s="3"/>
    </row>
    <row r="35" spans="1:10" x14ac:dyDescent="0.2">
      <c r="A35" s="491" t="s">
        <v>1320</v>
      </c>
      <c r="B35" s="491"/>
      <c r="C35" s="491"/>
      <c r="D35" s="3">
        <f>SUM(D31:D34)+1</f>
        <v>13129</v>
      </c>
      <c r="E35" s="3"/>
      <c r="F35" s="3"/>
      <c r="G35" s="3"/>
      <c r="I35" s="3"/>
      <c r="J35" s="3"/>
    </row>
    <row r="36" spans="1:10" x14ac:dyDescent="0.2">
      <c r="A36" s="491"/>
      <c r="B36" s="491"/>
      <c r="C36" s="491"/>
      <c r="E36" s="3"/>
      <c r="F36" s="3"/>
      <c r="G36" s="3"/>
      <c r="I36" s="3"/>
      <c r="J36" s="3"/>
    </row>
    <row r="37" spans="1:10" ht="13.5" x14ac:dyDescent="0.25">
      <c r="A37" s="494" t="s">
        <v>43</v>
      </c>
      <c r="B37" s="491"/>
      <c r="C37" s="491"/>
      <c r="E37" s="3">
        <v>17403</v>
      </c>
      <c r="F37" s="3">
        <v>17652</v>
      </c>
      <c r="G37" s="3">
        <v>16990</v>
      </c>
      <c r="H37" s="3">
        <v>16990</v>
      </c>
      <c r="I37" s="3">
        <v>17578</v>
      </c>
      <c r="J37" s="3"/>
    </row>
    <row r="38" spans="1:10" x14ac:dyDescent="0.2">
      <c r="A38" s="16" t="s">
        <v>1536</v>
      </c>
      <c r="B38" s="3">
        <f>+D9</f>
        <v>81200.400000000009</v>
      </c>
      <c r="C38" s="507">
        <v>0.1353</v>
      </c>
      <c r="D38" s="3">
        <f>ROUND(B38*C38,0)</f>
        <v>10986</v>
      </c>
      <c r="E38" s="3"/>
      <c r="F38" s="3"/>
      <c r="G38" s="3"/>
      <c r="I38" s="3"/>
      <c r="J38" s="3"/>
    </row>
    <row r="39" spans="1:10" ht="15" x14ac:dyDescent="0.35">
      <c r="A39" s="16" t="s">
        <v>883</v>
      </c>
      <c r="B39" s="3">
        <f>+D15</f>
        <v>48724</v>
      </c>
      <c r="C39" s="507">
        <v>0.1353</v>
      </c>
      <c r="D39" s="14">
        <f>ROUND(B39*C39,0)</f>
        <v>6592</v>
      </c>
      <c r="E39" s="3"/>
      <c r="F39" s="3"/>
      <c r="G39" s="3"/>
      <c r="I39" s="3"/>
      <c r="J39" s="3"/>
    </row>
    <row r="40" spans="1:10" x14ac:dyDescent="0.2">
      <c r="A40" s="491" t="s">
        <v>1320</v>
      </c>
      <c r="B40" s="3"/>
      <c r="C40" s="17"/>
      <c r="D40" s="3">
        <f>SUM(D38:D39)</f>
        <v>17578</v>
      </c>
      <c r="E40" s="3"/>
      <c r="F40" s="3"/>
      <c r="G40" s="3"/>
      <c r="I40" s="3"/>
      <c r="J40" s="3"/>
    </row>
    <row r="41" spans="1:10" x14ac:dyDescent="0.2">
      <c r="A41" s="491"/>
      <c r="B41" s="491"/>
      <c r="C41" s="491"/>
      <c r="E41" s="3"/>
      <c r="F41" s="3"/>
      <c r="G41" s="3"/>
      <c r="I41" s="3"/>
      <c r="J41" s="3"/>
    </row>
    <row r="42" spans="1:10" ht="13.5" x14ac:dyDescent="0.25">
      <c r="A42" s="494" t="s">
        <v>44</v>
      </c>
      <c r="B42" s="491"/>
      <c r="C42" s="491"/>
      <c r="E42" s="3">
        <v>37819</v>
      </c>
      <c r="F42" s="3">
        <v>38000</v>
      </c>
      <c r="G42" s="3">
        <v>40500</v>
      </c>
      <c r="H42" s="3">
        <v>40500</v>
      </c>
      <c r="I42" s="3">
        <v>40500</v>
      </c>
      <c r="J42" s="3"/>
    </row>
    <row r="43" spans="1:10" x14ac:dyDescent="0.2">
      <c r="A43" s="491" t="s">
        <v>440</v>
      </c>
      <c r="B43" s="3">
        <v>2</v>
      </c>
      <c r="C43" s="3">
        <v>20250</v>
      </c>
      <c r="D43" s="3">
        <f>ROUND(B43*C43,0)</f>
        <v>40500</v>
      </c>
      <c r="E43" s="3"/>
      <c r="F43" s="3"/>
      <c r="G43" s="3"/>
      <c r="I43" s="3"/>
      <c r="J43" s="3"/>
    </row>
    <row r="44" spans="1:10" x14ac:dyDescent="0.2">
      <c r="A44" s="491"/>
      <c r="B44" s="3"/>
      <c r="C44" s="491"/>
      <c r="E44" s="3"/>
      <c r="F44" s="3"/>
      <c r="G44" s="3"/>
      <c r="I44" s="3"/>
      <c r="J44" s="3"/>
    </row>
    <row r="45" spans="1:10" ht="13.5" x14ac:dyDescent="0.25">
      <c r="A45" s="494" t="s">
        <v>1166</v>
      </c>
      <c r="B45" s="3"/>
      <c r="C45" s="491"/>
      <c r="E45" s="3">
        <v>2490</v>
      </c>
      <c r="F45" s="3">
        <v>2475</v>
      </c>
      <c r="G45" s="3">
        <v>2475</v>
      </c>
      <c r="H45" s="3">
        <v>2475</v>
      </c>
      <c r="I45" s="3">
        <v>2475</v>
      </c>
      <c r="J45" s="3"/>
    </row>
    <row r="46" spans="1:10" x14ac:dyDescent="0.2">
      <c r="A46" s="491" t="s">
        <v>440</v>
      </c>
      <c r="B46" s="3">
        <v>2</v>
      </c>
      <c r="C46" s="3">
        <v>1375</v>
      </c>
      <c r="D46" s="3">
        <f>ROUND(B46*C46,0)</f>
        <v>2750</v>
      </c>
      <c r="E46" s="3"/>
      <c r="F46" s="3"/>
      <c r="G46" s="3"/>
      <c r="I46" s="3"/>
      <c r="J46" s="3"/>
    </row>
    <row r="47" spans="1:10" ht="15" x14ac:dyDescent="0.35">
      <c r="A47" s="491" t="s">
        <v>243</v>
      </c>
      <c r="B47" s="3"/>
      <c r="C47" s="3"/>
      <c r="D47" s="14">
        <f>+C46*-0.1*B46</f>
        <v>-275</v>
      </c>
      <c r="E47" s="3"/>
      <c r="F47" s="3"/>
      <c r="G47" s="3"/>
      <c r="I47" s="3"/>
      <c r="J47" s="3"/>
    </row>
    <row r="48" spans="1:10" x14ac:dyDescent="0.2">
      <c r="A48" s="491" t="s">
        <v>877</v>
      </c>
      <c r="B48" s="3"/>
      <c r="C48" s="3"/>
      <c r="D48" s="3">
        <f>SUM(D46:D47)</f>
        <v>2475</v>
      </c>
      <c r="E48" s="3"/>
      <c r="F48" s="3"/>
      <c r="G48" s="3"/>
      <c r="I48" s="3"/>
      <c r="J48" s="3"/>
    </row>
    <row r="49" spans="1:10" x14ac:dyDescent="0.2">
      <c r="A49" s="491"/>
      <c r="B49" s="3"/>
      <c r="C49" s="491"/>
      <c r="E49" s="3"/>
      <c r="F49" s="3"/>
      <c r="G49" s="3"/>
      <c r="I49" s="3"/>
      <c r="J49" s="3"/>
    </row>
    <row r="50" spans="1:10" ht="13.5" x14ac:dyDescent="0.25">
      <c r="A50" s="494" t="s">
        <v>146</v>
      </c>
      <c r="B50" s="3"/>
      <c r="C50" s="491"/>
      <c r="E50" s="3">
        <v>272</v>
      </c>
      <c r="F50" s="3">
        <v>270</v>
      </c>
      <c r="G50" s="3">
        <v>290</v>
      </c>
      <c r="H50" s="3">
        <v>290</v>
      </c>
      <c r="I50" s="3">
        <v>290</v>
      </c>
      <c r="J50" s="3"/>
    </row>
    <row r="51" spans="1:10" x14ac:dyDescent="0.2">
      <c r="A51" s="491" t="s">
        <v>440</v>
      </c>
      <c r="B51" s="3">
        <v>2</v>
      </c>
      <c r="C51" s="3">
        <v>145</v>
      </c>
      <c r="D51" s="3">
        <f>ROUND(B51*C51,0)</f>
        <v>290</v>
      </c>
      <c r="E51" s="3"/>
      <c r="F51" s="3"/>
      <c r="G51" s="3"/>
      <c r="I51" s="3"/>
      <c r="J51" s="3"/>
    </row>
    <row r="52" spans="1:10" x14ac:dyDescent="0.2">
      <c r="A52" s="491"/>
      <c r="B52" s="3"/>
      <c r="C52" s="491"/>
      <c r="E52" s="3"/>
      <c r="F52" s="3"/>
      <c r="G52" s="3"/>
      <c r="I52" s="3"/>
      <c r="J52" s="3"/>
    </row>
    <row r="53" spans="1:10" ht="13.5" x14ac:dyDescent="0.25">
      <c r="A53" s="494" t="s">
        <v>147</v>
      </c>
      <c r="B53" s="3"/>
      <c r="C53" s="491"/>
      <c r="E53" s="3">
        <v>1235</v>
      </c>
      <c r="F53" s="3">
        <v>1050</v>
      </c>
      <c r="G53" s="3">
        <v>1130</v>
      </c>
      <c r="H53" s="3">
        <v>1130</v>
      </c>
      <c r="I53" s="3">
        <v>1130</v>
      </c>
      <c r="J53" s="3"/>
    </row>
    <row r="54" spans="1:10" x14ac:dyDescent="0.2">
      <c r="A54" s="491" t="s">
        <v>440</v>
      </c>
      <c r="B54" s="3">
        <v>2</v>
      </c>
      <c r="C54" s="3">
        <v>565</v>
      </c>
      <c r="D54" s="3">
        <f>ROUND(B54*C54,0)</f>
        <v>1130</v>
      </c>
      <c r="E54" s="3"/>
      <c r="F54" s="3"/>
      <c r="G54" s="3"/>
      <c r="I54" s="3"/>
      <c r="J54" s="3"/>
    </row>
    <row r="55" spans="1:10" x14ac:dyDescent="0.2">
      <c r="A55" s="491"/>
      <c r="B55" s="491"/>
      <c r="C55" s="491"/>
      <c r="E55" s="3"/>
      <c r="F55" s="3"/>
      <c r="G55" s="3"/>
      <c r="I55" s="3"/>
      <c r="J55" s="3"/>
    </row>
    <row r="56" spans="1:10" ht="13.5" x14ac:dyDescent="0.25">
      <c r="A56" s="494" t="s">
        <v>148</v>
      </c>
      <c r="B56" s="491"/>
      <c r="C56" s="491"/>
      <c r="E56" s="3">
        <v>3280</v>
      </c>
      <c r="F56" s="3">
        <v>4014</v>
      </c>
      <c r="G56" s="3">
        <v>3734</v>
      </c>
      <c r="H56" s="3">
        <v>3734</v>
      </c>
      <c r="I56" s="3">
        <v>3849</v>
      </c>
      <c r="J56" s="3"/>
    </row>
    <row r="57" spans="1:10" x14ac:dyDescent="0.2">
      <c r="A57" s="16" t="s">
        <v>1246</v>
      </c>
      <c r="B57" s="3">
        <f>+D7+D8</f>
        <v>81200.400000000009</v>
      </c>
      <c r="C57" s="17">
        <v>2.2429999999999999E-2</v>
      </c>
      <c r="D57" s="3">
        <f>ROUND(B57*C57,0)</f>
        <v>1821</v>
      </c>
      <c r="E57" s="3"/>
      <c r="F57" s="3"/>
      <c r="G57" s="3"/>
      <c r="I57" s="3"/>
      <c r="J57" s="3"/>
    </row>
    <row r="58" spans="1:10" x14ac:dyDescent="0.2">
      <c r="A58" s="16" t="s">
        <v>1852</v>
      </c>
      <c r="B58" s="3">
        <f>+B32</f>
        <v>48724</v>
      </c>
      <c r="C58" s="17">
        <v>2.2429999999999999E-2</v>
      </c>
      <c r="D58" s="3">
        <f>ROUND(B58*C58,0)</f>
        <v>1093</v>
      </c>
      <c r="E58" s="3"/>
      <c r="F58" s="3"/>
      <c r="G58" s="3"/>
      <c r="I58" s="3"/>
      <c r="J58" s="3"/>
    </row>
    <row r="59" spans="1:10" x14ac:dyDescent="0.2">
      <c r="A59" s="16" t="s">
        <v>591</v>
      </c>
      <c r="B59" s="3">
        <f>+D22</f>
        <v>22724</v>
      </c>
      <c r="C59" s="17">
        <v>2.2429999999999999E-2</v>
      </c>
      <c r="D59" s="3">
        <f>ROUND(B59*C59,0)</f>
        <v>510</v>
      </c>
      <c r="E59" s="3"/>
      <c r="F59" s="3"/>
      <c r="G59" s="3"/>
      <c r="I59" s="3"/>
      <c r="J59" s="3"/>
    </row>
    <row r="60" spans="1:10" x14ac:dyDescent="0.2">
      <c r="A60" s="16" t="s">
        <v>1579</v>
      </c>
      <c r="B60" s="3">
        <f>+D21+D20+D19+D23+D24</f>
        <v>18288</v>
      </c>
      <c r="C60" s="17">
        <v>2.2429999999999999E-2</v>
      </c>
      <c r="D60" s="3">
        <f>ROUND(B60*C60,0)</f>
        <v>410</v>
      </c>
      <c r="E60" s="3"/>
      <c r="F60" s="3"/>
      <c r="G60" s="3"/>
      <c r="I60" s="3"/>
      <c r="J60" s="3"/>
    </row>
    <row r="61" spans="1:10" ht="15" x14ac:dyDescent="0.35">
      <c r="A61" s="16" t="s">
        <v>1926</v>
      </c>
      <c r="B61" s="3">
        <f>+D28</f>
        <v>599</v>
      </c>
      <c r="C61" s="17">
        <v>2.2429999999999999E-2</v>
      </c>
      <c r="D61" s="14">
        <f>ROUND(B61*C61,0)</f>
        <v>13</v>
      </c>
      <c r="E61" s="3"/>
      <c r="F61" s="3"/>
      <c r="G61" s="3"/>
      <c r="I61" s="3"/>
      <c r="J61" s="3"/>
    </row>
    <row r="62" spans="1:10" x14ac:dyDescent="0.2">
      <c r="A62" s="491" t="s">
        <v>1320</v>
      </c>
      <c r="B62" s="491"/>
      <c r="C62" s="491"/>
      <c r="D62" s="3">
        <f>SUM(D57:D61)+2</f>
        <v>3849</v>
      </c>
      <c r="E62" s="3"/>
      <c r="F62" s="3"/>
      <c r="G62" s="3"/>
      <c r="I62" s="3"/>
      <c r="J62" s="3"/>
    </row>
    <row r="63" spans="1:10" x14ac:dyDescent="0.2">
      <c r="A63" s="491"/>
      <c r="B63" s="491"/>
      <c r="C63" s="491"/>
      <c r="E63" s="3"/>
      <c r="F63" s="3"/>
      <c r="G63" s="3"/>
      <c r="I63" s="3"/>
      <c r="J63" s="3"/>
    </row>
    <row r="64" spans="1:10" ht="13.5" x14ac:dyDescent="0.25">
      <c r="A64" s="494" t="s">
        <v>362</v>
      </c>
      <c r="B64" s="491"/>
      <c r="C64" s="491"/>
      <c r="E64" s="3">
        <v>39</v>
      </c>
      <c r="F64" s="3">
        <v>114</v>
      </c>
      <c r="G64" s="3">
        <v>109</v>
      </c>
      <c r="H64" s="3">
        <v>109</v>
      </c>
      <c r="I64" s="3">
        <v>109</v>
      </c>
      <c r="J64" s="3"/>
    </row>
    <row r="65" spans="1:10" x14ac:dyDescent="0.2">
      <c r="A65" s="491" t="s">
        <v>2105</v>
      </c>
      <c r="B65" s="3">
        <v>1</v>
      </c>
      <c r="C65" s="3">
        <v>20</v>
      </c>
      <c r="D65" s="3">
        <f>ROUND(B65*C65,0)</f>
        <v>20</v>
      </c>
      <c r="E65" s="3"/>
      <c r="F65" s="3"/>
      <c r="G65" s="3"/>
      <c r="I65" s="3"/>
      <c r="J65" s="3"/>
    </row>
    <row r="66" spans="1:10" x14ac:dyDescent="0.2">
      <c r="A66" s="16" t="s">
        <v>1852</v>
      </c>
      <c r="B66" s="3">
        <v>1</v>
      </c>
      <c r="C66" s="3">
        <v>20</v>
      </c>
      <c r="D66" s="3">
        <f>ROUND(B66*C66,0)</f>
        <v>20</v>
      </c>
      <c r="E66" s="3"/>
      <c r="F66" s="3"/>
      <c r="G66" s="3"/>
      <c r="I66" s="3"/>
      <c r="J66" s="3"/>
    </row>
    <row r="67" spans="1:10" x14ac:dyDescent="0.2">
      <c r="A67" s="16" t="s">
        <v>1808</v>
      </c>
      <c r="B67" s="176">
        <v>0.5</v>
      </c>
      <c r="C67" s="3">
        <v>20</v>
      </c>
      <c r="D67" s="3">
        <f>ROUND(B67*C67,0)</f>
        <v>10</v>
      </c>
      <c r="E67" s="3"/>
      <c r="F67" s="3"/>
      <c r="G67" s="3"/>
      <c r="I67" s="3"/>
      <c r="J67" s="3"/>
    </row>
    <row r="68" spans="1:10" x14ac:dyDescent="0.2">
      <c r="A68" s="16" t="s">
        <v>196</v>
      </c>
      <c r="B68" s="3">
        <f>+D19+D20+D21+D23+D24</f>
        <v>18288</v>
      </c>
      <c r="C68" s="17">
        <v>1.4E-3</v>
      </c>
      <c r="D68" s="3">
        <f>ROUND(B68*C68,0)+13</f>
        <v>39</v>
      </c>
      <c r="E68" s="3"/>
      <c r="F68" s="3"/>
      <c r="G68" s="3"/>
      <c r="I68" s="3"/>
      <c r="J68" s="3"/>
    </row>
    <row r="69" spans="1:10" ht="15" x14ac:dyDescent="0.35">
      <c r="A69" s="16" t="s">
        <v>2104</v>
      </c>
      <c r="B69" s="3">
        <v>1</v>
      </c>
      <c r="C69" s="3">
        <v>20</v>
      </c>
      <c r="D69" s="14">
        <f>ROUND(B69*C69,0)</f>
        <v>20</v>
      </c>
      <c r="E69" s="3"/>
      <c r="F69" s="3"/>
      <c r="G69" s="3"/>
      <c r="I69" s="3"/>
      <c r="J69" s="3"/>
    </row>
    <row r="70" spans="1:10" x14ac:dyDescent="0.2">
      <c r="A70" s="491" t="s">
        <v>1320</v>
      </c>
      <c r="B70" s="491"/>
      <c r="C70" s="491"/>
      <c r="D70" s="3">
        <f>SUM(D65:D69)</f>
        <v>109</v>
      </c>
      <c r="E70" s="3"/>
      <c r="F70" s="3"/>
      <c r="G70" s="3"/>
      <c r="I70" s="3"/>
      <c r="J70" s="3"/>
    </row>
    <row r="71" spans="1:10" x14ac:dyDescent="0.2">
      <c r="A71" s="491"/>
      <c r="B71" s="491"/>
      <c r="C71" s="491"/>
      <c r="E71" s="3"/>
      <c r="F71" s="3"/>
      <c r="G71" s="3"/>
      <c r="I71" s="3"/>
      <c r="J71" s="3"/>
    </row>
    <row r="72" spans="1:10" ht="13.5" x14ac:dyDescent="0.25">
      <c r="A72" s="494" t="s">
        <v>363</v>
      </c>
      <c r="B72" s="491"/>
      <c r="C72" s="491"/>
      <c r="E72" s="3">
        <v>1709</v>
      </c>
      <c r="F72" s="3">
        <v>1000</v>
      </c>
      <c r="G72" s="3">
        <v>1000</v>
      </c>
      <c r="H72" s="3">
        <v>1000</v>
      </c>
      <c r="I72" s="3">
        <v>1000</v>
      </c>
      <c r="J72" s="3"/>
    </row>
    <row r="73" spans="1:10" x14ac:dyDescent="0.2">
      <c r="A73" s="491" t="s">
        <v>437</v>
      </c>
      <c r="B73" s="491"/>
      <c r="C73" s="491"/>
      <c r="D73" s="3" t="s">
        <v>418</v>
      </c>
      <c r="E73" s="3"/>
      <c r="F73" s="3"/>
      <c r="G73" s="3"/>
      <c r="I73" s="3"/>
      <c r="J73" s="3"/>
    </row>
    <row r="74" spans="1:10" x14ac:dyDescent="0.2">
      <c r="A74" s="491" t="s">
        <v>622</v>
      </c>
      <c r="B74" s="491"/>
      <c r="C74" s="3"/>
      <c r="D74" s="3">
        <v>1000</v>
      </c>
      <c r="E74" s="3"/>
      <c r="F74" s="3"/>
      <c r="G74" s="3"/>
      <c r="I74" s="3"/>
      <c r="J74" s="3"/>
    </row>
    <row r="75" spans="1:10" x14ac:dyDescent="0.2">
      <c r="A75" s="491" t="s">
        <v>418</v>
      </c>
      <c r="B75" s="491"/>
      <c r="C75" s="3" t="s">
        <v>418</v>
      </c>
      <c r="D75" s="3" t="s">
        <v>418</v>
      </c>
      <c r="E75" s="3"/>
      <c r="F75" s="3"/>
      <c r="G75" s="3"/>
      <c r="I75" s="3"/>
      <c r="J75" s="3"/>
    </row>
    <row r="76" spans="1:10" ht="13.5" x14ac:dyDescent="0.25">
      <c r="A76" s="494" t="s">
        <v>1441</v>
      </c>
      <c r="B76" s="491"/>
      <c r="C76" s="3"/>
      <c r="E76" s="3">
        <v>6693</v>
      </c>
      <c r="F76" s="3">
        <v>3500</v>
      </c>
      <c r="G76" s="3">
        <v>3500</v>
      </c>
      <c r="H76" s="3">
        <v>3500</v>
      </c>
      <c r="I76" s="3">
        <v>3500</v>
      </c>
      <c r="J76" s="3"/>
    </row>
    <row r="77" spans="1:10" x14ac:dyDescent="0.2">
      <c r="A77" s="491" t="s">
        <v>543</v>
      </c>
      <c r="B77" s="9"/>
      <c r="C77" s="3"/>
      <c r="D77" s="3">
        <v>3500</v>
      </c>
      <c r="E77" s="3"/>
      <c r="F77" s="3"/>
      <c r="G77" s="3"/>
      <c r="I77" s="3"/>
      <c r="J77" s="3"/>
    </row>
    <row r="78" spans="1:10" x14ac:dyDescent="0.2">
      <c r="A78" s="9"/>
      <c r="B78" s="9"/>
      <c r="C78" s="3"/>
      <c r="E78" s="3"/>
      <c r="F78" s="3"/>
      <c r="G78" s="3"/>
      <c r="I78" s="3"/>
      <c r="J78" s="3"/>
    </row>
    <row r="79" spans="1:10" ht="13.5" x14ac:dyDescent="0.25">
      <c r="A79" s="494" t="s">
        <v>607</v>
      </c>
      <c r="B79" s="491"/>
      <c r="C79" s="491"/>
      <c r="D79" s="3" t="s">
        <v>418</v>
      </c>
      <c r="E79" s="3">
        <v>500</v>
      </c>
      <c r="F79" s="3">
        <v>500</v>
      </c>
      <c r="G79" s="3">
        <v>500</v>
      </c>
      <c r="H79" s="3">
        <v>500</v>
      </c>
      <c r="I79" s="3">
        <v>500</v>
      </c>
      <c r="J79" s="3"/>
    </row>
    <row r="80" spans="1:10" x14ac:dyDescent="0.2">
      <c r="A80" s="491" t="s">
        <v>1683</v>
      </c>
      <c r="B80" s="3" t="s">
        <v>418</v>
      </c>
      <c r="C80" s="3" t="s">
        <v>418</v>
      </c>
      <c r="D80" s="3">
        <v>500</v>
      </c>
      <c r="E80" s="3"/>
      <c r="F80" s="3"/>
      <c r="G80" s="3"/>
      <c r="I80" s="3"/>
      <c r="J80" s="3"/>
    </row>
    <row r="81" spans="1:10" x14ac:dyDescent="0.2">
      <c r="A81" s="491"/>
      <c r="B81" s="491"/>
      <c r="C81" s="491"/>
      <c r="E81" s="3"/>
      <c r="F81" s="3"/>
      <c r="G81" s="3"/>
      <c r="I81" s="3"/>
      <c r="J81" s="3"/>
    </row>
    <row r="82" spans="1:10" ht="13.5" x14ac:dyDescent="0.25">
      <c r="A82" s="494" t="s">
        <v>1131</v>
      </c>
      <c r="B82" s="491"/>
      <c r="C82" s="491"/>
      <c r="E82" s="3">
        <v>224</v>
      </c>
      <c r="F82" s="3">
        <v>300</v>
      </c>
      <c r="G82" s="3">
        <v>300</v>
      </c>
      <c r="H82" s="3">
        <v>300</v>
      </c>
      <c r="I82" s="3">
        <v>300</v>
      </c>
      <c r="J82" s="3"/>
    </row>
    <row r="83" spans="1:10" x14ac:dyDescent="0.2">
      <c r="A83" s="491" t="s">
        <v>450</v>
      </c>
      <c r="B83" s="491"/>
      <c r="C83" s="3"/>
      <c r="D83" s="3">
        <v>300</v>
      </c>
      <c r="E83" s="491"/>
      <c r="F83" s="491"/>
      <c r="G83" s="491"/>
      <c r="H83" s="491"/>
      <c r="I83" s="557"/>
      <c r="J83" s="557"/>
    </row>
    <row r="84" spans="1:10" x14ac:dyDescent="0.2">
      <c r="A84" s="491" t="s">
        <v>418</v>
      </c>
      <c r="B84" s="491"/>
      <c r="C84" s="3" t="s">
        <v>418</v>
      </c>
      <c r="D84" s="3" t="s">
        <v>418</v>
      </c>
      <c r="E84" s="3"/>
      <c r="F84" s="3"/>
      <c r="G84" s="3"/>
      <c r="I84" s="3"/>
      <c r="J84" s="3"/>
    </row>
    <row r="85" spans="1:10" ht="13.5" x14ac:dyDescent="0.25">
      <c r="A85" s="494" t="s">
        <v>1211</v>
      </c>
      <c r="B85" s="491"/>
      <c r="C85" s="3"/>
      <c r="E85" s="3">
        <v>433</v>
      </c>
      <c r="F85" s="3">
        <v>500</v>
      </c>
      <c r="G85" s="3">
        <v>500</v>
      </c>
      <c r="H85" s="3">
        <v>500</v>
      </c>
      <c r="I85" s="3">
        <v>500</v>
      </c>
      <c r="J85" s="3"/>
    </row>
    <row r="86" spans="1:10" x14ac:dyDescent="0.2">
      <c r="A86" s="491" t="s">
        <v>861</v>
      </c>
      <c r="B86" s="491"/>
      <c r="C86" s="3"/>
      <c r="D86" s="3">
        <v>500</v>
      </c>
      <c r="E86" s="3"/>
      <c r="F86" s="3"/>
      <c r="G86" s="3"/>
      <c r="I86" s="3"/>
      <c r="J86" s="3"/>
    </row>
    <row r="87" spans="1:10" ht="15" x14ac:dyDescent="0.35">
      <c r="A87" s="491" t="s">
        <v>1278</v>
      </c>
      <c r="B87" s="491"/>
      <c r="C87" s="3"/>
      <c r="D87" s="14">
        <v>0</v>
      </c>
      <c r="E87" s="3"/>
      <c r="F87" s="3"/>
      <c r="G87" s="3"/>
      <c r="I87" s="3"/>
      <c r="J87" s="3"/>
    </row>
    <row r="88" spans="1:10" x14ac:dyDescent="0.2">
      <c r="A88" s="491"/>
      <c r="B88" s="491"/>
      <c r="C88" s="3"/>
      <c r="D88" s="3">
        <f>SUM(D86:D87)</f>
        <v>500</v>
      </c>
      <c r="E88" s="3"/>
      <c r="F88" s="3"/>
      <c r="G88" s="3"/>
      <c r="I88" s="3"/>
      <c r="J88" s="3"/>
    </row>
    <row r="89" spans="1:10" ht="13.5" x14ac:dyDescent="0.25">
      <c r="A89" s="494" t="s">
        <v>675</v>
      </c>
      <c r="B89" s="491"/>
      <c r="C89" s="3"/>
      <c r="E89" s="3">
        <v>28838</v>
      </c>
      <c r="F89" s="3">
        <v>29250</v>
      </c>
      <c r="G89" s="3">
        <v>29500</v>
      </c>
      <c r="H89" s="3">
        <v>29500</v>
      </c>
      <c r="I89" s="3">
        <v>29500</v>
      </c>
      <c r="J89" s="3"/>
    </row>
    <row r="90" spans="1:10" x14ac:dyDescent="0.2">
      <c r="A90" s="491" t="s">
        <v>525</v>
      </c>
      <c r="B90" s="491"/>
      <c r="C90" s="3"/>
      <c r="D90" s="3">
        <v>10000</v>
      </c>
      <c r="E90" s="3"/>
      <c r="F90" s="3"/>
      <c r="G90" s="3"/>
      <c r="I90" s="3"/>
      <c r="J90" s="3"/>
    </row>
    <row r="91" spans="1:10" x14ac:dyDescent="0.2">
      <c r="A91" s="491" t="s">
        <v>52</v>
      </c>
      <c r="B91" s="491"/>
      <c r="C91" s="3"/>
      <c r="D91" s="3">
        <v>200</v>
      </c>
      <c r="E91" s="3"/>
      <c r="F91" s="3"/>
      <c r="G91" s="3"/>
      <c r="I91" s="3"/>
      <c r="J91" s="3"/>
    </row>
    <row r="92" spans="1:10" x14ac:dyDescent="0.2">
      <c r="A92" s="491" t="s">
        <v>318</v>
      </c>
      <c r="B92" s="491"/>
      <c r="C92" s="3"/>
      <c r="D92" s="3">
        <v>3000</v>
      </c>
      <c r="E92" s="3"/>
      <c r="F92" s="3"/>
      <c r="G92" s="3"/>
      <c r="I92" s="3"/>
      <c r="J92" s="3"/>
    </row>
    <row r="93" spans="1:10" x14ac:dyDescent="0.2">
      <c r="A93" s="491" t="s">
        <v>2309</v>
      </c>
      <c r="B93" s="491"/>
      <c r="C93" s="3"/>
      <c r="D93" s="3">
        <v>1500</v>
      </c>
      <c r="E93" s="3"/>
      <c r="F93" s="3"/>
      <c r="G93" s="3"/>
      <c r="I93" s="3"/>
      <c r="J93" s="3"/>
    </row>
    <row r="94" spans="1:10" x14ac:dyDescent="0.2">
      <c r="A94" s="491" t="s">
        <v>319</v>
      </c>
      <c r="B94" s="491"/>
      <c r="C94" s="3"/>
      <c r="D94" s="3">
        <v>1400</v>
      </c>
      <c r="E94" s="3"/>
      <c r="F94" s="3"/>
      <c r="G94" s="3"/>
      <c r="I94" s="3"/>
      <c r="J94" s="3"/>
    </row>
    <row r="95" spans="1:10" x14ac:dyDescent="0.2">
      <c r="A95" s="491" t="s">
        <v>2093</v>
      </c>
      <c r="B95" s="491"/>
      <c r="C95" s="3"/>
      <c r="D95" s="3">
        <v>450</v>
      </c>
      <c r="E95" s="3"/>
      <c r="F95" s="3"/>
      <c r="G95" s="3"/>
      <c r="I95" s="3"/>
      <c r="J95" s="3"/>
    </row>
    <row r="96" spans="1:10" x14ac:dyDescent="0.2">
      <c r="A96" s="491" t="s">
        <v>1684</v>
      </c>
      <c r="B96" s="491"/>
      <c r="C96" s="3"/>
      <c r="D96" s="3">
        <v>200</v>
      </c>
      <c r="E96" s="3"/>
      <c r="F96" s="3"/>
      <c r="G96" s="3"/>
      <c r="I96" s="3"/>
      <c r="J96" s="3"/>
    </row>
    <row r="97" spans="1:10" ht="15" x14ac:dyDescent="0.35">
      <c r="A97" s="491" t="s">
        <v>1809</v>
      </c>
      <c r="B97" s="491"/>
      <c r="C97" s="14"/>
      <c r="D97" s="3">
        <v>12550</v>
      </c>
      <c r="E97" s="3"/>
      <c r="F97" s="3"/>
      <c r="G97" s="3"/>
      <c r="I97" s="3"/>
      <c r="J97" s="3"/>
    </row>
    <row r="98" spans="1:10" ht="15" x14ac:dyDescent="0.35">
      <c r="A98" s="491" t="s">
        <v>1666</v>
      </c>
      <c r="B98" s="491"/>
      <c r="C98" s="14"/>
      <c r="D98" s="21">
        <v>200</v>
      </c>
      <c r="E98" s="3"/>
      <c r="F98" s="3"/>
      <c r="G98" s="3"/>
      <c r="I98" s="3"/>
      <c r="J98" s="3"/>
    </row>
    <row r="99" spans="1:10" x14ac:dyDescent="0.2">
      <c r="A99" s="491" t="s">
        <v>1320</v>
      </c>
      <c r="B99" s="491"/>
      <c r="C99" s="3"/>
      <c r="D99" s="3">
        <f>SUM(D90:D98)</f>
        <v>29500</v>
      </c>
      <c r="E99" s="3"/>
      <c r="F99" s="3"/>
      <c r="G99" s="3"/>
      <c r="I99" s="3"/>
      <c r="J99" s="3"/>
    </row>
    <row r="100" spans="1:10" x14ac:dyDescent="0.2">
      <c r="A100" s="491"/>
      <c r="B100" s="491"/>
      <c r="C100" s="3"/>
      <c r="E100" s="3"/>
      <c r="F100" s="3"/>
      <c r="G100" s="3"/>
      <c r="I100" s="3"/>
      <c r="J100" s="3"/>
    </row>
    <row r="101" spans="1:10" ht="13.5" x14ac:dyDescent="0.25">
      <c r="A101" s="494" t="s">
        <v>405</v>
      </c>
      <c r="B101" s="491"/>
      <c r="C101" s="3"/>
      <c r="E101" s="3">
        <v>9273</v>
      </c>
      <c r="F101" s="3">
        <v>8100</v>
      </c>
      <c r="G101" s="3">
        <v>9900</v>
      </c>
      <c r="H101" s="3">
        <v>9900</v>
      </c>
      <c r="I101" s="3">
        <v>9900</v>
      </c>
      <c r="J101" s="3"/>
    </row>
    <row r="102" spans="1:10" x14ac:dyDescent="0.2">
      <c r="A102" s="491" t="s">
        <v>277</v>
      </c>
      <c r="B102" s="3"/>
      <c r="C102" s="15"/>
      <c r="D102" s="3">
        <v>1900</v>
      </c>
      <c r="E102" s="3"/>
      <c r="F102" s="3"/>
      <c r="G102" s="3"/>
      <c r="I102" s="3"/>
      <c r="J102" s="3"/>
    </row>
    <row r="103" spans="1:10" ht="15" x14ac:dyDescent="0.35">
      <c r="A103" s="491" t="s">
        <v>1912</v>
      </c>
      <c r="B103" s="3"/>
      <c r="C103" s="15"/>
      <c r="D103" s="14">
        <v>8000</v>
      </c>
      <c r="E103" s="3"/>
      <c r="F103" s="3"/>
      <c r="G103" s="3"/>
      <c r="I103" s="3"/>
      <c r="J103" s="3"/>
    </row>
    <row r="104" spans="1:10" x14ac:dyDescent="0.2">
      <c r="A104" s="491"/>
      <c r="B104" s="3"/>
      <c r="C104" s="15"/>
      <c r="D104" s="3">
        <f>SUM(D102:D103)</f>
        <v>9900</v>
      </c>
      <c r="E104" s="3"/>
      <c r="F104" s="3"/>
      <c r="G104" s="3"/>
      <c r="I104" s="3"/>
      <c r="J104" s="3"/>
    </row>
    <row r="105" spans="1:10" x14ac:dyDescent="0.2">
      <c r="A105" s="491"/>
      <c r="B105" s="3"/>
      <c r="C105" s="15"/>
      <c r="E105" s="3"/>
      <c r="F105" s="3"/>
      <c r="G105" s="3"/>
      <c r="I105" s="3"/>
      <c r="J105" s="3"/>
    </row>
    <row r="106" spans="1:10" ht="13.5" x14ac:dyDescent="0.25">
      <c r="A106" s="494" t="s">
        <v>278</v>
      </c>
      <c r="B106" s="491"/>
      <c r="C106" s="491"/>
      <c r="E106" s="3">
        <v>5925</v>
      </c>
      <c r="F106" s="3">
        <v>11200</v>
      </c>
      <c r="G106" s="3">
        <v>11200</v>
      </c>
      <c r="H106" s="3">
        <v>11200</v>
      </c>
      <c r="I106" s="3">
        <v>11200</v>
      </c>
      <c r="J106" s="3"/>
    </row>
    <row r="107" spans="1:10" x14ac:dyDescent="0.2">
      <c r="A107" s="491" t="s">
        <v>1998</v>
      </c>
      <c r="B107" s="491"/>
      <c r="C107" s="491"/>
      <c r="D107" s="3">
        <v>1300</v>
      </c>
      <c r="E107" s="3"/>
      <c r="F107" s="3"/>
      <c r="G107" s="3"/>
      <c r="I107" s="3"/>
      <c r="J107" s="3"/>
    </row>
    <row r="108" spans="1:10" x14ac:dyDescent="0.2">
      <c r="A108" s="491" t="s">
        <v>1375</v>
      </c>
      <c r="B108" s="491"/>
      <c r="C108" s="491"/>
      <c r="D108" s="3">
        <v>2100</v>
      </c>
      <c r="E108" s="3"/>
      <c r="F108" s="3"/>
      <c r="G108" s="3"/>
      <c r="I108" s="3"/>
      <c r="J108" s="3"/>
    </row>
    <row r="109" spans="1:10" x14ac:dyDescent="0.2">
      <c r="A109" s="491" t="s">
        <v>1928</v>
      </c>
      <c r="B109" s="491"/>
      <c r="C109" s="491"/>
      <c r="D109" s="3">
        <v>3500</v>
      </c>
      <c r="E109" s="3"/>
      <c r="F109" s="3"/>
      <c r="G109" s="3"/>
      <c r="I109" s="3"/>
      <c r="J109" s="3"/>
    </row>
    <row r="110" spans="1:10" x14ac:dyDescent="0.2">
      <c r="A110" s="491" t="s">
        <v>1997</v>
      </c>
      <c r="B110" s="491"/>
      <c r="C110" s="491"/>
      <c r="D110" s="3">
        <v>1300</v>
      </c>
      <c r="E110" s="3"/>
      <c r="F110" s="3"/>
      <c r="G110" s="3"/>
      <c r="I110" s="3"/>
      <c r="J110" s="3"/>
    </row>
    <row r="111" spans="1:10" x14ac:dyDescent="0.2">
      <c r="A111" s="491" t="s">
        <v>1376</v>
      </c>
      <c r="B111" s="491"/>
      <c r="C111" s="491"/>
      <c r="D111" s="3">
        <v>1600</v>
      </c>
      <c r="E111" s="3"/>
      <c r="F111" s="21"/>
      <c r="G111" s="21"/>
      <c r="H111" s="21"/>
      <c r="I111" s="21"/>
      <c r="J111" s="21"/>
    </row>
    <row r="112" spans="1:10" x14ac:dyDescent="0.2">
      <c r="A112" s="491" t="s">
        <v>1377</v>
      </c>
      <c r="B112" s="30"/>
      <c r="C112" s="491"/>
      <c r="D112" s="21">
        <v>1400</v>
      </c>
      <c r="E112" s="3"/>
      <c r="F112" s="3"/>
      <c r="G112" s="3"/>
      <c r="I112" s="3"/>
      <c r="J112" s="3"/>
    </row>
    <row r="113" spans="1:10" x14ac:dyDescent="0.2">
      <c r="A113" s="491"/>
      <c r="B113" s="491"/>
      <c r="C113" s="491"/>
      <c r="D113" s="3">
        <f>SUM(D107:D112)</f>
        <v>11200</v>
      </c>
      <c r="E113" s="3"/>
      <c r="F113" s="3"/>
      <c r="G113" s="3"/>
      <c r="I113" s="3"/>
      <c r="J113" s="3"/>
    </row>
    <row r="114" spans="1:10" x14ac:dyDescent="0.2">
      <c r="A114" s="491" t="s">
        <v>418</v>
      </c>
      <c r="B114" s="491"/>
      <c r="C114" s="491"/>
      <c r="D114" s="3" t="s">
        <v>418</v>
      </c>
      <c r="E114" s="3"/>
      <c r="F114" s="3"/>
      <c r="G114" s="3"/>
      <c r="I114" s="3"/>
      <c r="J114" s="3"/>
    </row>
    <row r="115" spans="1:10" ht="13.5" x14ac:dyDescent="0.25">
      <c r="A115" s="494" t="s">
        <v>20</v>
      </c>
      <c r="B115" s="491"/>
      <c r="C115" s="491"/>
      <c r="E115" s="3">
        <v>592</v>
      </c>
      <c r="F115" s="3">
        <v>608</v>
      </c>
      <c r="G115" s="3">
        <v>680</v>
      </c>
      <c r="H115" s="3">
        <v>680</v>
      </c>
      <c r="I115" s="3">
        <v>680</v>
      </c>
      <c r="J115" s="3"/>
    </row>
    <row r="116" spans="1:10" x14ac:dyDescent="0.2">
      <c r="A116" s="491" t="s">
        <v>674</v>
      </c>
      <c r="B116" s="491"/>
      <c r="C116" s="491"/>
      <c r="D116" s="3">
        <v>680</v>
      </c>
      <c r="E116" s="3"/>
      <c r="F116" s="3"/>
      <c r="G116" s="3"/>
      <c r="I116" s="3"/>
      <c r="J116" s="3"/>
    </row>
    <row r="117" spans="1:10" x14ac:dyDescent="0.2">
      <c r="A117" s="491"/>
      <c r="B117" s="491"/>
      <c r="C117" s="491"/>
      <c r="E117" s="3"/>
      <c r="F117" s="3"/>
      <c r="G117" s="3"/>
      <c r="I117" s="3"/>
      <c r="J117" s="3"/>
    </row>
    <row r="118" spans="1:10" ht="13.5" x14ac:dyDescent="0.25">
      <c r="A118" s="494" t="s">
        <v>21</v>
      </c>
      <c r="B118" s="491"/>
      <c r="C118" s="491"/>
      <c r="E118" s="3">
        <v>625</v>
      </c>
      <c r="F118" s="3">
        <v>570</v>
      </c>
      <c r="G118" s="3">
        <v>700</v>
      </c>
      <c r="H118" s="3">
        <v>700</v>
      </c>
      <c r="I118" s="3">
        <v>700</v>
      </c>
      <c r="J118" s="3"/>
    </row>
    <row r="119" spans="1:10" x14ac:dyDescent="0.2">
      <c r="A119" s="491" t="s">
        <v>541</v>
      </c>
      <c r="B119" s="3">
        <v>200</v>
      </c>
      <c r="C119" s="15">
        <v>3.5</v>
      </c>
      <c r="D119" s="3">
        <f>ROUND(B119*C119,0)</f>
        <v>700</v>
      </c>
      <c r="E119" s="491"/>
      <c r="F119" s="3"/>
      <c r="G119" s="3"/>
      <c r="I119" s="3"/>
      <c r="J119" s="3"/>
    </row>
    <row r="120" spans="1:10" x14ac:dyDescent="0.2">
      <c r="A120" s="491"/>
      <c r="B120" s="491"/>
      <c r="C120" s="491"/>
      <c r="E120" s="3"/>
      <c r="F120" s="3"/>
      <c r="G120" s="3"/>
      <c r="I120" s="3"/>
      <c r="J120" s="3"/>
    </row>
    <row r="121" spans="1:10" ht="13.5" x14ac:dyDescent="0.25">
      <c r="A121" s="494" t="s">
        <v>1015</v>
      </c>
      <c r="B121" s="491"/>
      <c r="C121" s="491"/>
      <c r="D121" s="11" t="s">
        <v>418</v>
      </c>
      <c r="E121" s="3">
        <v>6141</v>
      </c>
      <c r="F121" s="3">
        <v>6470</v>
      </c>
      <c r="G121" s="3">
        <v>6470</v>
      </c>
      <c r="H121" s="3">
        <v>6470</v>
      </c>
      <c r="I121" s="3">
        <v>6470</v>
      </c>
      <c r="J121" s="3"/>
    </row>
    <row r="122" spans="1:10" x14ac:dyDescent="0.2">
      <c r="A122" s="491" t="s">
        <v>1026</v>
      </c>
      <c r="B122" s="491"/>
      <c r="C122" s="3"/>
      <c r="D122" s="3">
        <v>3250</v>
      </c>
      <c r="E122" s="3"/>
      <c r="F122" s="21"/>
      <c r="G122" s="21"/>
      <c r="H122" s="21"/>
      <c r="I122" s="21"/>
      <c r="J122" s="21"/>
    </row>
    <row r="123" spans="1:10" x14ac:dyDescent="0.2">
      <c r="A123" s="491" t="s">
        <v>1927</v>
      </c>
      <c r="B123" s="491"/>
      <c r="C123" s="3"/>
      <c r="D123" s="3">
        <v>2200</v>
      </c>
      <c r="E123" s="3"/>
      <c r="F123" s="21"/>
      <c r="G123" s="21"/>
      <c r="H123" s="21"/>
      <c r="I123" s="21"/>
      <c r="J123" s="21"/>
    </row>
    <row r="124" spans="1:10" ht="15" x14ac:dyDescent="0.35">
      <c r="A124" s="491" t="s">
        <v>320</v>
      </c>
      <c r="B124" s="491"/>
      <c r="C124" s="14"/>
      <c r="D124" s="21">
        <v>1019.76</v>
      </c>
      <c r="E124" s="3"/>
      <c r="F124" s="3"/>
      <c r="G124" s="3"/>
      <c r="I124" s="3"/>
      <c r="J124" s="3"/>
    </row>
    <row r="125" spans="1:10" x14ac:dyDescent="0.2">
      <c r="A125" s="491" t="s">
        <v>1320</v>
      </c>
      <c r="B125" s="491"/>
      <c r="C125" s="3"/>
      <c r="D125" s="3">
        <f>SUM(D122:D124)</f>
        <v>6469.76</v>
      </c>
      <c r="E125" s="3"/>
      <c r="F125" s="3"/>
      <c r="G125" s="3"/>
      <c r="I125" s="3"/>
      <c r="J125" s="3"/>
    </row>
    <row r="126" spans="1:10" x14ac:dyDescent="0.2">
      <c r="A126" s="491"/>
      <c r="B126" s="491"/>
      <c r="C126" s="3"/>
      <c r="E126" s="3"/>
      <c r="F126" s="3"/>
      <c r="G126" s="3"/>
      <c r="I126" s="3"/>
      <c r="J126" s="3"/>
    </row>
    <row r="127" spans="1:10" ht="13.5" x14ac:dyDescent="0.25">
      <c r="A127" s="494" t="s">
        <v>1269</v>
      </c>
      <c r="B127" s="491"/>
      <c r="C127" s="3"/>
      <c r="E127" s="3">
        <v>230</v>
      </c>
      <c r="F127" s="3">
        <v>405</v>
      </c>
      <c r="G127" s="3">
        <v>750</v>
      </c>
      <c r="H127" s="3">
        <v>750</v>
      </c>
      <c r="I127" s="3">
        <v>750</v>
      </c>
      <c r="J127" s="3"/>
    </row>
    <row r="128" spans="1:10" x14ac:dyDescent="0.2">
      <c r="A128" s="491" t="s">
        <v>2540</v>
      </c>
      <c r="B128" s="3" t="s">
        <v>418</v>
      </c>
      <c r="C128" s="3"/>
      <c r="D128" s="3">
        <v>150</v>
      </c>
      <c r="E128" s="3"/>
      <c r="F128" s="3"/>
      <c r="G128" s="3"/>
      <c r="I128" s="3"/>
      <c r="J128" s="3"/>
    </row>
    <row r="129" spans="1:10" x14ac:dyDescent="0.2">
      <c r="A129" s="491" t="s">
        <v>2541</v>
      </c>
      <c r="B129" s="3"/>
      <c r="C129" s="3"/>
      <c r="D129" s="3">
        <v>250</v>
      </c>
      <c r="E129" s="3"/>
      <c r="F129" s="3"/>
      <c r="G129" s="3"/>
      <c r="I129" s="3"/>
      <c r="J129" s="3"/>
    </row>
    <row r="130" spans="1:10" ht="15" x14ac:dyDescent="0.35">
      <c r="A130" s="491" t="s">
        <v>2542</v>
      </c>
      <c r="B130" s="3"/>
      <c r="C130" s="14"/>
      <c r="D130" s="14">
        <v>350</v>
      </c>
      <c r="E130" s="3"/>
      <c r="F130" s="3"/>
      <c r="G130" s="3"/>
      <c r="I130" s="3"/>
      <c r="J130" s="3"/>
    </row>
    <row r="131" spans="1:10" x14ac:dyDescent="0.2">
      <c r="A131" s="491" t="s">
        <v>1320</v>
      </c>
      <c r="B131" s="3"/>
      <c r="C131" s="3"/>
      <c r="D131" s="3">
        <f>SUM(D128:D130)</f>
        <v>750</v>
      </c>
      <c r="E131" s="3"/>
      <c r="F131" s="3"/>
      <c r="G131" s="3"/>
      <c r="I131" s="3"/>
      <c r="J131" s="3"/>
    </row>
    <row r="132" spans="1:10" x14ac:dyDescent="0.2">
      <c r="A132" s="491" t="s">
        <v>418</v>
      </c>
      <c r="B132" s="491"/>
      <c r="C132" s="3"/>
      <c r="D132" s="3" t="s">
        <v>418</v>
      </c>
      <c r="E132" s="3"/>
      <c r="F132" s="3"/>
      <c r="G132" s="3"/>
      <c r="I132" s="3"/>
      <c r="J132" s="3"/>
    </row>
    <row r="133" spans="1:10" ht="13.5" x14ac:dyDescent="0.25">
      <c r="A133" s="20" t="s">
        <v>1446</v>
      </c>
      <c r="B133" s="491"/>
      <c r="C133" s="3"/>
      <c r="E133" s="3">
        <v>4465</v>
      </c>
      <c r="F133" s="3">
        <v>4904</v>
      </c>
      <c r="G133" s="3">
        <v>5149</v>
      </c>
      <c r="H133" s="3">
        <v>5149</v>
      </c>
      <c r="I133" s="3">
        <v>5149</v>
      </c>
      <c r="J133" s="3"/>
    </row>
    <row r="134" spans="1:10" x14ac:dyDescent="0.2">
      <c r="A134" s="491" t="s">
        <v>1136</v>
      </c>
      <c r="B134" s="491"/>
      <c r="C134" s="3"/>
      <c r="D134" s="3">
        <v>5149</v>
      </c>
      <c r="E134" s="3"/>
      <c r="F134" s="3"/>
      <c r="G134" s="3"/>
      <c r="I134" s="3"/>
      <c r="J134" s="3"/>
    </row>
    <row r="135" spans="1:10" x14ac:dyDescent="0.2">
      <c r="A135" s="491"/>
      <c r="B135" s="491"/>
      <c r="C135" s="3"/>
      <c r="E135" s="3"/>
      <c r="F135" s="3"/>
      <c r="G135" s="3"/>
      <c r="I135" s="3"/>
      <c r="J135" s="3"/>
    </row>
    <row r="136" spans="1:10" ht="13.5" x14ac:dyDescent="0.25">
      <c r="A136" s="494" t="s">
        <v>149</v>
      </c>
      <c r="B136" s="491"/>
      <c r="C136" s="3"/>
      <c r="E136" s="3">
        <v>725</v>
      </c>
      <c r="F136" s="3">
        <v>550</v>
      </c>
      <c r="G136" s="3">
        <v>550</v>
      </c>
      <c r="H136" s="3">
        <v>550</v>
      </c>
      <c r="I136" s="3">
        <v>550</v>
      </c>
      <c r="J136" s="3"/>
    </row>
    <row r="137" spans="1:10" x14ac:dyDescent="0.2">
      <c r="A137" s="491" t="s">
        <v>663</v>
      </c>
      <c r="B137" s="491"/>
      <c r="C137" s="3"/>
      <c r="D137" s="3">
        <v>550</v>
      </c>
      <c r="E137" s="3"/>
      <c r="F137" s="3"/>
      <c r="G137" s="3"/>
      <c r="I137" s="3"/>
      <c r="J137" s="3"/>
    </row>
    <row r="138" spans="1:10" x14ac:dyDescent="0.2">
      <c r="A138" s="491" t="s">
        <v>418</v>
      </c>
      <c r="B138" s="491"/>
      <c r="C138" s="3"/>
      <c r="D138" s="3" t="s">
        <v>418</v>
      </c>
      <c r="E138" s="3"/>
      <c r="F138" s="3"/>
      <c r="G138" s="3"/>
      <c r="I138" s="3"/>
      <c r="J138" s="3"/>
    </row>
    <row r="139" spans="1:10" ht="13.5" x14ac:dyDescent="0.25">
      <c r="A139" s="494" t="s">
        <v>1151</v>
      </c>
      <c r="B139" s="491"/>
      <c r="C139" s="11"/>
      <c r="D139" s="11" t="s">
        <v>418</v>
      </c>
      <c r="E139" s="3">
        <v>21323</v>
      </c>
      <c r="F139" s="3">
        <v>26740</v>
      </c>
      <c r="G139" s="3">
        <v>26740</v>
      </c>
      <c r="H139" s="3">
        <v>26740</v>
      </c>
      <c r="I139" s="3">
        <v>26740</v>
      </c>
      <c r="J139" s="3"/>
    </row>
    <row r="140" spans="1:10" x14ac:dyDescent="0.2">
      <c r="A140" s="66" t="s">
        <v>647</v>
      </c>
      <c r="B140" s="9"/>
      <c r="C140" s="3"/>
      <c r="D140" s="3">
        <v>16000</v>
      </c>
      <c r="E140" s="3"/>
      <c r="F140" s="3"/>
      <c r="G140" s="3"/>
      <c r="I140" s="3"/>
      <c r="J140" s="3"/>
    </row>
    <row r="141" spans="1:10" x14ac:dyDescent="0.2">
      <c r="A141" s="66" t="s">
        <v>92</v>
      </c>
      <c r="B141" s="9"/>
      <c r="C141" s="3"/>
      <c r="D141" s="3">
        <v>2240</v>
      </c>
      <c r="E141" s="3"/>
      <c r="F141" s="3"/>
      <c r="G141" s="3"/>
      <c r="I141" s="3"/>
      <c r="J141" s="3"/>
    </row>
    <row r="142" spans="1:10" x14ac:dyDescent="0.2">
      <c r="A142" s="9" t="s">
        <v>534</v>
      </c>
      <c r="B142" s="9"/>
      <c r="C142" s="3"/>
      <c r="D142" s="3">
        <v>3000</v>
      </c>
      <c r="E142" s="3"/>
      <c r="F142" s="3"/>
      <c r="G142" s="3"/>
      <c r="I142" s="3"/>
      <c r="J142" s="3"/>
    </row>
    <row r="143" spans="1:10" x14ac:dyDescent="0.2">
      <c r="A143" s="491" t="s">
        <v>2046</v>
      </c>
      <c r="B143" s="491"/>
      <c r="C143" s="3" t="s">
        <v>418</v>
      </c>
      <c r="D143" s="3">
        <v>3500</v>
      </c>
      <c r="E143" s="3"/>
      <c r="F143" s="3"/>
      <c r="G143" s="3"/>
      <c r="I143" s="3"/>
      <c r="J143" s="3"/>
    </row>
    <row r="144" spans="1:10" ht="18" x14ac:dyDescent="0.4">
      <c r="A144" s="491" t="s">
        <v>712</v>
      </c>
      <c r="B144" s="491"/>
      <c r="C144" s="29"/>
      <c r="D144" s="14">
        <v>2000</v>
      </c>
      <c r="E144" s="3"/>
      <c r="F144" s="3"/>
      <c r="G144" s="3"/>
      <c r="I144" s="3"/>
      <c r="J144" s="3"/>
    </row>
    <row r="145" spans="1:10" x14ac:dyDescent="0.2">
      <c r="A145" s="491" t="s">
        <v>1320</v>
      </c>
      <c r="B145" s="491"/>
      <c r="C145" s="3"/>
      <c r="D145" s="3">
        <f>SUM(D140:D144)</f>
        <v>26740</v>
      </c>
      <c r="E145" s="3"/>
      <c r="F145" s="3"/>
      <c r="G145" s="3"/>
      <c r="I145" s="3"/>
      <c r="J145" s="3"/>
    </row>
    <row r="146" spans="1:10" x14ac:dyDescent="0.2">
      <c r="A146" s="491"/>
      <c r="B146" s="491"/>
      <c r="C146" s="3"/>
      <c r="E146" s="3"/>
      <c r="F146" s="3"/>
      <c r="G146" s="3"/>
      <c r="I146" s="3"/>
      <c r="J146" s="3"/>
    </row>
    <row r="147" spans="1:10" ht="13.5" x14ac:dyDescent="0.25">
      <c r="A147" s="494" t="s">
        <v>991</v>
      </c>
      <c r="B147" s="491"/>
      <c r="C147" s="3"/>
      <c r="E147" s="3">
        <v>2001</v>
      </c>
      <c r="F147" s="3">
        <v>2000</v>
      </c>
      <c r="G147" s="3">
        <v>2000</v>
      </c>
      <c r="H147" s="3">
        <v>2000</v>
      </c>
      <c r="I147" s="3">
        <v>2000</v>
      </c>
      <c r="J147" s="3"/>
    </row>
    <row r="148" spans="1:10" x14ac:dyDescent="0.2">
      <c r="A148" s="491" t="s">
        <v>2543</v>
      </c>
      <c r="B148" s="491"/>
      <c r="C148" s="3"/>
      <c r="D148" s="3">
        <v>2000</v>
      </c>
      <c r="E148" s="3"/>
      <c r="F148" s="491"/>
      <c r="G148" s="491"/>
      <c r="H148" s="491"/>
      <c r="I148" s="557"/>
      <c r="J148" s="557"/>
    </row>
    <row r="149" spans="1:10" x14ac:dyDescent="0.2">
      <c r="A149" s="491"/>
      <c r="B149" s="491"/>
      <c r="C149" s="3"/>
      <c r="E149" s="3"/>
      <c r="F149" s="3"/>
      <c r="G149" s="3"/>
      <c r="I149" s="3"/>
      <c r="J149" s="3"/>
    </row>
    <row r="150" spans="1:10" x14ac:dyDescent="0.2">
      <c r="A150" s="491"/>
      <c r="B150" s="491"/>
      <c r="C150" s="3"/>
      <c r="E150" s="3"/>
      <c r="F150" s="3"/>
      <c r="G150" s="3"/>
      <c r="I150" s="3"/>
      <c r="J150" s="3"/>
    </row>
    <row r="151" spans="1:10" ht="13.5" x14ac:dyDescent="0.25">
      <c r="A151" s="494" t="s">
        <v>1535</v>
      </c>
      <c r="B151" s="491"/>
      <c r="C151" s="3"/>
      <c r="E151" s="3">
        <v>2070</v>
      </c>
      <c r="F151" s="3">
        <v>1000</v>
      </c>
      <c r="G151" s="3">
        <v>1250</v>
      </c>
      <c r="H151" s="3">
        <v>1250</v>
      </c>
      <c r="I151" s="3">
        <v>1250</v>
      </c>
      <c r="J151" s="3"/>
    </row>
    <row r="152" spans="1:10" x14ac:dyDescent="0.2">
      <c r="A152" s="491" t="s">
        <v>649</v>
      </c>
      <c r="B152" s="491"/>
      <c r="C152" s="3"/>
      <c r="D152" s="3">
        <v>1000</v>
      </c>
      <c r="E152" s="3"/>
      <c r="F152" s="3"/>
      <c r="G152" s="3"/>
      <c r="I152" s="3"/>
      <c r="J152" s="3"/>
    </row>
    <row r="153" spans="1:10" ht="15" x14ac:dyDescent="0.35">
      <c r="A153" s="491" t="s">
        <v>71</v>
      </c>
      <c r="B153" s="491"/>
      <c r="C153" s="14"/>
      <c r="D153" s="14">
        <v>250</v>
      </c>
      <c r="E153" s="3"/>
      <c r="F153" s="3"/>
      <c r="G153" s="3"/>
      <c r="I153" s="3"/>
      <c r="J153" s="3"/>
    </row>
    <row r="154" spans="1:10" x14ac:dyDescent="0.2">
      <c r="A154" s="491" t="s">
        <v>1320</v>
      </c>
      <c r="B154" s="491"/>
      <c r="C154" s="3"/>
      <c r="D154" s="3">
        <f>SUM(D152:D153)</f>
        <v>1250</v>
      </c>
      <c r="E154" s="3"/>
      <c r="F154" s="491"/>
      <c r="G154" s="491"/>
      <c r="H154" s="491"/>
      <c r="I154" s="557"/>
      <c r="J154" s="557"/>
    </row>
    <row r="155" spans="1:10" x14ac:dyDescent="0.2">
      <c r="A155" s="491"/>
      <c r="B155" s="491"/>
      <c r="C155" s="3"/>
      <c r="E155" s="3"/>
      <c r="F155" s="3"/>
      <c r="G155" s="3"/>
      <c r="I155" s="3"/>
      <c r="J155" s="3"/>
    </row>
    <row r="156" spans="1:10" ht="13.5" x14ac:dyDescent="0.25">
      <c r="A156" s="494" t="s">
        <v>1364</v>
      </c>
      <c r="B156" s="491"/>
      <c r="C156" s="3"/>
      <c r="E156" s="3">
        <v>543</v>
      </c>
      <c r="F156" s="3">
        <v>400</v>
      </c>
      <c r="G156" s="3">
        <v>400</v>
      </c>
      <c r="H156" s="3">
        <v>400</v>
      </c>
      <c r="I156" s="3">
        <v>400</v>
      </c>
      <c r="J156" s="3"/>
    </row>
    <row r="157" spans="1:10" x14ac:dyDescent="0.2">
      <c r="A157" s="491" t="s">
        <v>1218</v>
      </c>
      <c r="B157" s="491"/>
      <c r="C157" s="3"/>
      <c r="D157" s="3">
        <v>400</v>
      </c>
      <c r="E157" s="3"/>
      <c r="F157" s="3"/>
      <c r="G157" s="3"/>
      <c r="I157" s="3"/>
      <c r="J157" s="3"/>
    </row>
    <row r="158" spans="1:10" x14ac:dyDescent="0.2">
      <c r="A158" s="491"/>
      <c r="B158" s="491"/>
      <c r="C158" s="3"/>
      <c r="E158" s="3"/>
      <c r="F158" s="3"/>
      <c r="G158" s="3"/>
      <c r="I158" s="3"/>
      <c r="J158" s="3"/>
    </row>
    <row r="159" spans="1:10" ht="13.5" x14ac:dyDescent="0.25">
      <c r="A159" s="494" t="s">
        <v>1219</v>
      </c>
      <c r="B159" s="491"/>
      <c r="C159" s="3"/>
      <c r="E159" s="3">
        <v>375</v>
      </c>
      <c r="F159" s="3">
        <v>1000</v>
      </c>
      <c r="G159" s="3">
        <v>1000</v>
      </c>
      <c r="H159" s="3">
        <v>1000</v>
      </c>
      <c r="I159" s="3">
        <v>1000</v>
      </c>
      <c r="J159" s="3"/>
    </row>
    <row r="160" spans="1:10" x14ac:dyDescent="0.2">
      <c r="A160" s="491" t="s">
        <v>1436</v>
      </c>
      <c r="B160" s="491"/>
      <c r="C160" s="3"/>
      <c r="D160" s="3">
        <v>1000</v>
      </c>
      <c r="E160" s="3"/>
      <c r="F160" s="3"/>
      <c r="G160" s="3"/>
      <c r="I160" s="3"/>
      <c r="J160" s="3"/>
    </row>
    <row r="161" spans="1:10" x14ac:dyDescent="0.2">
      <c r="A161" s="491" t="s">
        <v>418</v>
      </c>
      <c r="B161" s="491"/>
      <c r="C161" s="3"/>
      <c r="D161" s="3" t="s">
        <v>418</v>
      </c>
      <c r="E161" s="3"/>
      <c r="F161" s="3"/>
      <c r="G161" s="3"/>
      <c r="I161" s="3"/>
      <c r="J161" s="3"/>
    </row>
    <row r="162" spans="1:10" s="364" customFormat="1" ht="13.5" x14ac:dyDescent="0.25">
      <c r="A162" s="494" t="s">
        <v>1437</v>
      </c>
      <c r="B162" s="491"/>
      <c r="C162" s="3"/>
      <c r="D162" s="3"/>
      <c r="E162" s="3">
        <v>210</v>
      </c>
      <c r="F162" s="3">
        <v>0</v>
      </c>
      <c r="G162" s="3">
        <v>0</v>
      </c>
      <c r="H162" s="3">
        <v>0</v>
      </c>
      <c r="I162" s="3">
        <v>0</v>
      </c>
      <c r="J162" s="3"/>
    </row>
    <row r="163" spans="1:10" s="364" customFormat="1" x14ac:dyDescent="0.2">
      <c r="A163" s="491" t="s">
        <v>648</v>
      </c>
      <c r="B163" s="491"/>
      <c r="C163" s="3"/>
      <c r="D163" s="3">
        <v>0</v>
      </c>
      <c r="E163" s="3"/>
      <c r="F163" s="3"/>
      <c r="G163" s="3"/>
      <c r="H163" s="3"/>
      <c r="I163" s="3"/>
      <c r="J163" s="3"/>
    </row>
    <row r="164" spans="1:10" s="364" customFormat="1" x14ac:dyDescent="0.2">
      <c r="A164" s="491"/>
      <c r="B164" s="491"/>
      <c r="C164" s="3"/>
      <c r="D164" s="3"/>
      <c r="E164" s="3"/>
      <c r="F164" s="3"/>
      <c r="G164" s="3"/>
      <c r="H164" s="3"/>
      <c r="I164" s="3"/>
      <c r="J164" s="3"/>
    </row>
    <row r="165" spans="1:10" ht="13.5" x14ac:dyDescent="0.25">
      <c r="A165" s="494" t="s">
        <v>2295</v>
      </c>
      <c r="B165" s="491"/>
      <c r="C165" s="3"/>
      <c r="E165" s="3">
        <v>22935</v>
      </c>
      <c r="F165" s="3">
        <v>0</v>
      </c>
      <c r="G165" s="3">
        <v>0</v>
      </c>
      <c r="H165" s="3">
        <v>0</v>
      </c>
      <c r="I165" s="3">
        <v>0</v>
      </c>
      <c r="J165" s="3"/>
    </row>
    <row r="166" spans="1:10" x14ac:dyDescent="0.2">
      <c r="A166" s="491"/>
      <c r="B166" s="491"/>
      <c r="C166" s="3"/>
      <c r="D166" s="3">
        <v>0</v>
      </c>
      <c r="E166" s="3"/>
      <c r="F166" s="3"/>
      <c r="G166" s="3"/>
      <c r="I166" s="3"/>
      <c r="J166" s="3"/>
    </row>
    <row r="167" spans="1:10" x14ac:dyDescent="0.2">
      <c r="A167" s="491"/>
      <c r="B167" s="491"/>
      <c r="C167" s="491"/>
      <c r="D167" s="11" t="s">
        <v>418</v>
      </c>
      <c r="E167" s="3"/>
      <c r="F167" s="3"/>
      <c r="G167" s="3"/>
      <c r="I167" s="3"/>
      <c r="J167" s="3"/>
    </row>
    <row r="168" spans="1:10" ht="13.5" x14ac:dyDescent="0.25">
      <c r="A168" s="494" t="s">
        <v>840</v>
      </c>
      <c r="B168" s="491"/>
      <c r="C168" s="491"/>
      <c r="D168" s="491"/>
      <c r="E168" s="3">
        <v>79679</v>
      </c>
      <c r="F168" s="19">
        <v>79049</v>
      </c>
      <c r="G168" s="19">
        <v>82525</v>
      </c>
      <c r="H168" s="19">
        <v>82525</v>
      </c>
      <c r="I168" s="19">
        <v>82525</v>
      </c>
      <c r="J168" s="19"/>
    </row>
    <row r="169" spans="1:10" ht="13.5" x14ac:dyDescent="0.25">
      <c r="A169" s="494"/>
      <c r="B169" s="22" t="s">
        <v>2163</v>
      </c>
      <c r="C169" s="22" t="s">
        <v>2290</v>
      </c>
      <c r="D169" s="22" t="s">
        <v>2507</v>
      </c>
      <c r="E169" s="3"/>
      <c r="F169" s="19"/>
      <c r="G169" s="19"/>
      <c r="H169" s="19"/>
      <c r="I169" s="19"/>
      <c r="J169" s="19"/>
    </row>
    <row r="170" spans="1:10" x14ac:dyDescent="0.2">
      <c r="A170" s="23" t="s">
        <v>1508</v>
      </c>
      <c r="B170" s="3">
        <v>29555</v>
      </c>
      <c r="C170" s="3">
        <v>38555</v>
      </c>
      <c r="D170" s="3">
        <v>59795</v>
      </c>
      <c r="E170" s="3"/>
      <c r="F170" s="491"/>
      <c r="G170" s="491"/>
      <c r="H170" s="491"/>
      <c r="I170" s="557"/>
      <c r="J170" s="557"/>
    </row>
    <row r="171" spans="1:10" x14ac:dyDescent="0.2">
      <c r="A171" s="491" t="s">
        <v>841</v>
      </c>
      <c r="B171" s="3">
        <v>139995</v>
      </c>
      <c r="C171" s="3">
        <v>141160</v>
      </c>
      <c r="D171" s="3">
        <v>143045</v>
      </c>
      <c r="E171" s="3"/>
      <c r="F171" s="491"/>
      <c r="G171" s="491"/>
      <c r="H171" s="491"/>
      <c r="I171" s="557"/>
      <c r="J171" s="557"/>
    </row>
    <row r="172" spans="1:10" x14ac:dyDescent="0.2">
      <c r="A172" s="491" t="s">
        <v>844</v>
      </c>
      <c r="B172" s="3">
        <v>63880</v>
      </c>
      <c r="C172" s="3">
        <v>60500</v>
      </c>
      <c r="D172" s="3">
        <v>97250</v>
      </c>
      <c r="E172" s="3"/>
      <c r="F172" s="491"/>
      <c r="G172" s="491"/>
      <c r="H172" s="491"/>
      <c r="I172" s="557"/>
      <c r="J172" s="557"/>
    </row>
    <row r="173" spans="1:10" x14ac:dyDescent="0.2">
      <c r="A173" s="491" t="s">
        <v>845</v>
      </c>
      <c r="B173" s="19">
        <v>44653</v>
      </c>
      <c r="C173" s="19">
        <v>52103</v>
      </c>
      <c r="D173" s="19">
        <v>53480</v>
      </c>
      <c r="E173" s="3"/>
      <c r="F173" s="19"/>
      <c r="G173" s="19"/>
      <c r="H173" s="19"/>
      <c r="I173" s="19"/>
      <c r="J173" s="19"/>
    </row>
    <row r="174" spans="1:10" x14ac:dyDescent="0.2">
      <c r="A174" s="491" t="s">
        <v>1122</v>
      </c>
      <c r="B174" s="19">
        <v>74225</v>
      </c>
      <c r="C174" s="19">
        <v>77650</v>
      </c>
      <c r="D174" s="19">
        <v>82360</v>
      </c>
      <c r="E174" s="3"/>
      <c r="F174" s="19"/>
      <c r="G174" s="19"/>
      <c r="H174" s="19"/>
      <c r="I174" s="19"/>
      <c r="J174" s="19"/>
    </row>
    <row r="175" spans="1:10" x14ac:dyDescent="0.2">
      <c r="A175" s="491" t="s">
        <v>846</v>
      </c>
      <c r="B175" s="19">
        <v>43365</v>
      </c>
      <c r="C175" s="19">
        <v>35055</v>
      </c>
      <c r="D175" s="19">
        <v>45782</v>
      </c>
      <c r="E175" s="3"/>
      <c r="F175" s="19"/>
      <c r="G175" s="19"/>
      <c r="H175" s="19"/>
      <c r="I175" s="19"/>
      <c r="J175" s="19"/>
    </row>
    <row r="176" spans="1:10" x14ac:dyDescent="0.2">
      <c r="A176" s="491" t="s">
        <v>1264</v>
      </c>
      <c r="B176" s="19">
        <v>51052</v>
      </c>
      <c r="C176" s="19">
        <v>29736</v>
      </c>
      <c r="D176" s="19">
        <v>29736</v>
      </c>
      <c r="E176" s="3"/>
      <c r="F176" s="19"/>
      <c r="G176" s="19"/>
      <c r="H176" s="19"/>
      <c r="I176" s="19"/>
      <c r="J176" s="19"/>
    </row>
    <row r="177" spans="1:10" ht="15" x14ac:dyDescent="0.35">
      <c r="A177" s="491" t="s">
        <v>977</v>
      </c>
      <c r="B177" s="492">
        <v>16866</v>
      </c>
      <c r="C177" s="492">
        <v>16950</v>
      </c>
      <c r="D177" s="492">
        <v>20000</v>
      </c>
      <c r="E177" s="3"/>
      <c r="F177" s="492"/>
      <c r="G177" s="492"/>
      <c r="H177" s="492"/>
      <c r="I177" s="558"/>
      <c r="J177" s="558"/>
    </row>
    <row r="178" spans="1:10" x14ac:dyDescent="0.2">
      <c r="A178" s="491" t="s">
        <v>847</v>
      </c>
      <c r="B178" s="19">
        <f>SUM(B170:B177)</f>
        <v>463591</v>
      </c>
      <c r="C178" s="19">
        <f>SUM(C170:C177)</f>
        <v>451709</v>
      </c>
      <c r="D178" s="19">
        <f>SUM(D170:D177)</f>
        <v>531448</v>
      </c>
      <c r="E178" s="3"/>
      <c r="F178" s="19"/>
      <c r="G178" s="19"/>
      <c r="H178" s="19"/>
      <c r="I178" s="19"/>
      <c r="J178" s="19"/>
    </row>
    <row r="179" spans="1:10" ht="15" x14ac:dyDescent="0.35">
      <c r="A179" s="491" t="s">
        <v>848</v>
      </c>
      <c r="B179" s="492">
        <v>-383912</v>
      </c>
      <c r="C179" s="492">
        <f>-372660</f>
        <v>-372660</v>
      </c>
      <c r="D179" s="492">
        <v>-448923</v>
      </c>
      <c r="E179" s="3"/>
      <c r="F179" s="492"/>
      <c r="G179" s="492"/>
      <c r="H179" s="492"/>
      <c r="I179" s="558"/>
      <c r="J179" s="558"/>
    </row>
    <row r="180" spans="1:10" x14ac:dyDescent="0.2">
      <c r="A180" s="491" t="s">
        <v>849</v>
      </c>
      <c r="B180" s="19">
        <f>B178+B179</f>
        <v>79679</v>
      </c>
      <c r="C180" s="19">
        <f>C178+C179</f>
        <v>79049</v>
      </c>
      <c r="D180" s="19">
        <f>D178+D179</f>
        <v>82525</v>
      </c>
      <c r="E180" s="3"/>
      <c r="F180" s="19"/>
      <c r="G180" s="19"/>
      <c r="H180" s="19"/>
      <c r="I180" s="19"/>
      <c r="J180" s="19"/>
    </row>
    <row r="181" spans="1:10" ht="15" x14ac:dyDescent="0.35">
      <c r="A181" s="491" t="s">
        <v>1381</v>
      </c>
      <c r="B181" s="492">
        <v>0</v>
      </c>
      <c r="C181" s="492">
        <v>0</v>
      </c>
      <c r="D181" s="492">
        <v>0</v>
      </c>
      <c r="E181" s="3"/>
      <c r="F181" s="492"/>
      <c r="G181" s="492"/>
      <c r="H181" s="492"/>
      <c r="I181" s="558"/>
      <c r="J181" s="558"/>
    </row>
    <row r="182" spans="1:10" x14ac:dyDescent="0.2">
      <c r="A182" s="491" t="s">
        <v>1382</v>
      </c>
      <c r="B182" s="19">
        <f>+B180+B181</f>
        <v>79679</v>
      </c>
      <c r="C182" s="19">
        <f>+C180+C181</f>
        <v>79049</v>
      </c>
      <c r="D182" s="19">
        <f>+D180+D181</f>
        <v>82525</v>
      </c>
      <c r="E182" s="3"/>
      <c r="F182" s="19"/>
      <c r="G182" s="19"/>
      <c r="H182" s="19"/>
      <c r="I182" s="19"/>
      <c r="J182" s="19"/>
    </row>
    <row r="183" spans="1:10" x14ac:dyDescent="0.2">
      <c r="A183" s="491" t="s">
        <v>736</v>
      </c>
      <c r="B183" s="19"/>
      <c r="C183" s="19"/>
      <c r="D183" s="19"/>
      <c r="E183" s="3"/>
      <c r="F183" s="19"/>
      <c r="G183" s="19"/>
      <c r="H183" s="19"/>
      <c r="I183" s="19"/>
      <c r="J183" s="19"/>
    </row>
    <row r="184" spans="1:10" x14ac:dyDescent="0.2">
      <c r="A184" s="491" t="s">
        <v>1523</v>
      </c>
      <c r="B184" s="31">
        <v>0</v>
      </c>
      <c r="C184" s="31">
        <v>0</v>
      </c>
      <c r="D184" s="31">
        <v>0</v>
      </c>
      <c r="E184" s="3"/>
      <c r="F184" s="31"/>
      <c r="G184" s="31"/>
      <c r="H184" s="31"/>
      <c r="I184" s="31"/>
      <c r="J184" s="31"/>
    </row>
    <row r="185" spans="1:10" x14ac:dyDescent="0.2">
      <c r="A185" s="491"/>
      <c r="B185" s="19">
        <f>SUM(B182:B184)</f>
        <v>79679</v>
      </c>
      <c r="C185" s="19">
        <f>SUM(C182:C184)</f>
        <v>79049</v>
      </c>
      <c r="D185" s="19">
        <f>SUM(D182:D184)</f>
        <v>82525</v>
      </c>
      <c r="E185" s="3"/>
      <c r="F185" s="19"/>
      <c r="G185" s="19"/>
      <c r="H185" s="19"/>
      <c r="I185" s="19"/>
      <c r="J185" s="19"/>
    </row>
    <row r="186" spans="1:10" x14ac:dyDescent="0.2">
      <c r="A186" s="491"/>
      <c r="B186" s="3"/>
      <c r="C186" s="3"/>
      <c r="D186" s="31"/>
      <c r="E186" s="3"/>
      <c r="F186" s="19"/>
      <c r="G186" s="19"/>
      <c r="H186" s="19"/>
      <c r="I186" s="19"/>
      <c r="J186" s="19"/>
    </row>
    <row r="187" spans="1:10" ht="13.5" x14ac:dyDescent="0.25">
      <c r="A187" s="494" t="s">
        <v>874</v>
      </c>
      <c r="B187" s="32" t="s">
        <v>418</v>
      </c>
      <c r="C187" s="32" t="s">
        <v>418</v>
      </c>
      <c r="D187" s="19"/>
      <c r="E187" s="3">
        <v>27696</v>
      </c>
      <c r="F187" s="3">
        <v>50000</v>
      </c>
      <c r="G187" s="3">
        <v>40000</v>
      </c>
      <c r="H187" s="3">
        <v>40000</v>
      </c>
      <c r="I187" s="3">
        <v>40000</v>
      </c>
      <c r="J187" s="3"/>
    </row>
    <row r="188" spans="1:10" x14ac:dyDescent="0.2">
      <c r="A188" s="491" t="s">
        <v>1685</v>
      </c>
      <c r="B188" s="3" t="s">
        <v>418</v>
      </c>
      <c r="C188" s="3" t="s">
        <v>418</v>
      </c>
      <c r="D188" s="3">
        <v>40000</v>
      </c>
      <c r="E188" s="3"/>
      <c r="F188" s="3"/>
      <c r="G188" s="3"/>
      <c r="I188" s="3"/>
      <c r="J188" s="3"/>
    </row>
    <row r="189" spans="1:10" x14ac:dyDescent="0.2">
      <c r="A189" s="491"/>
      <c r="B189" s="491"/>
      <c r="C189" s="491"/>
      <c r="E189" s="3"/>
      <c r="F189" s="3"/>
      <c r="G189" s="3"/>
      <c r="I189" s="3"/>
      <c r="J189" s="3"/>
    </row>
    <row r="190" spans="1:10" ht="13.5" x14ac:dyDescent="0.25">
      <c r="A190" s="494" t="s">
        <v>427</v>
      </c>
      <c r="B190" s="491"/>
      <c r="C190" s="491"/>
      <c r="E190" s="3">
        <v>1000</v>
      </c>
      <c r="F190" s="3">
        <v>1000</v>
      </c>
      <c r="G190" s="3">
        <v>1000</v>
      </c>
      <c r="H190" s="3">
        <v>1000</v>
      </c>
      <c r="I190" s="3">
        <v>1000</v>
      </c>
      <c r="J190" s="3"/>
    </row>
    <row r="191" spans="1:10" x14ac:dyDescent="0.2">
      <c r="A191" s="491" t="s">
        <v>428</v>
      </c>
      <c r="B191" s="491"/>
      <c r="C191" s="491"/>
      <c r="D191" s="3">
        <v>1000</v>
      </c>
      <c r="E191" s="3"/>
      <c r="F191" s="3"/>
      <c r="G191" s="3"/>
      <c r="I191" s="3"/>
      <c r="J191" s="3"/>
    </row>
    <row r="192" spans="1:10" x14ac:dyDescent="0.2">
      <c r="A192" s="491"/>
      <c r="B192" s="491"/>
      <c r="C192" s="491"/>
      <c r="E192" s="3"/>
      <c r="F192" s="3"/>
      <c r="G192" s="3"/>
      <c r="I192" s="3"/>
      <c r="J192" s="3"/>
    </row>
    <row r="193" spans="1:10" ht="13.5" x14ac:dyDescent="0.25">
      <c r="A193" s="494" t="s">
        <v>699</v>
      </c>
      <c r="B193" s="491"/>
      <c r="C193" s="491"/>
      <c r="D193" s="11" t="s">
        <v>418</v>
      </c>
      <c r="E193" s="3">
        <v>13816</v>
      </c>
      <c r="F193" s="3">
        <v>13950</v>
      </c>
      <c r="G193" s="3">
        <v>13950</v>
      </c>
      <c r="H193" s="3">
        <v>13950</v>
      </c>
      <c r="I193" s="3">
        <v>13950</v>
      </c>
      <c r="J193" s="3"/>
    </row>
    <row r="194" spans="1:10" x14ac:dyDescent="0.2">
      <c r="A194" s="491" t="s">
        <v>700</v>
      </c>
      <c r="B194" s="491"/>
      <c r="C194" s="3"/>
      <c r="D194" s="3">
        <v>1500</v>
      </c>
      <c r="E194" s="3"/>
      <c r="F194" s="491"/>
      <c r="G194" s="491"/>
      <c r="H194" s="491"/>
      <c r="I194" s="557"/>
      <c r="J194" s="557"/>
    </row>
    <row r="195" spans="1:10" x14ac:dyDescent="0.2">
      <c r="A195" s="491" t="s">
        <v>72</v>
      </c>
      <c r="B195" s="491"/>
      <c r="C195" s="3"/>
      <c r="D195" s="3">
        <v>0</v>
      </c>
      <c r="E195" s="3"/>
      <c r="F195" s="491"/>
      <c r="G195" s="491"/>
      <c r="H195" s="491"/>
      <c r="I195" s="557"/>
      <c r="J195" s="557"/>
    </row>
    <row r="196" spans="1:10" x14ac:dyDescent="0.2">
      <c r="A196" s="491" t="s">
        <v>73</v>
      </c>
      <c r="B196" s="491"/>
      <c r="C196" s="3"/>
      <c r="D196" s="3">
        <v>2000</v>
      </c>
      <c r="E196" s="3"/>
      <c r="F196" s="491"/>
      <c r="G196" s="491"/>
      <c r="H196" s="491"/>
      <c r="I196" s="557"/>
      <c r="J196" s="557"/>
    </row>
    <row r="197" spans="1:10" x14ac:dyDescent="0.2">
      <c r="A197" s="491" t="s">
        <v>74</v>
      </c>
      <c r="B197" s="491"/>
      <c r="C197" s="3"/>
      <c r="D197" s="3">
        <v>1200</v>
      </c>
      <c r="E197" s="3"/>
      <c r="F197" s="3"/>
      <c r="G197" s="3"/>
      <c r="I197" s="3"/>
      <c r="J197" s="3"/>
    </row>
    <row r="198" spans="1:10" x14ac:dyDescent="0.2">
      <c r="A198" s="491" t="s">
        <v>75</v>
      </c>
      <c r="B198" s="491"/>
      <c r="C198" s="3"/>
      <c r="D198" s="3">
        <v>1200</v>
      </c>
      <c r="E198" s="3"/>
      <c r="F198" s="3"/>
      <c r="G198" s="3"/>
      <c r="I198" s="3"/>
      <c r="J198" s="3"/>
    </row>
    <row r="199" spans="1:10" x14ac:dyDescent="0.2">
      <c r="A199" s="491" t="s">
        <v>1686</v>
      </c>
      <c r="B199" s="491"/>
      <c r="C199" s="3"/>
      <c r="D199" s="3">
        <v>1200</v>
      </c>
      <c r="E199" s="3"/>
      <c r="F199" s="3"/>
      <c r="G199" s="3"/>
      <c r="I199" s="3"/>
      <c r="J199" s="3"/>
    </row>
    <row r="200" spans="1:10" x14ac:dyDescent="0.2">
      <c r="A200" s="491" t="s">
        <v>2435</v>
      </c>
      <c r="B200" s="491"/>
      <c r="C200" s="3"/>
      <c r="D200" s="3">
        <f>-C200</f>
        <v>0</v>
      </c>
      <c r="E200" s="3"/>
      <c r="F200" s="3"/>
      <c r="G200" s="3"/>
      <c r="I200" s="3"/>
      <c r="J200" s="3"/>
    </row>
    <row r="201" spans="1:10" x14ac:dyDescent="0.2">
      <c r="A201" s="491" t="s">
        <v>1952</v>
      </c>
      <c r="B201" s="491"/>
      <c r="C201" s="3"/>
      <c r="D201" s="3">
        <v>1200</v>
      </c>
      <c r="E201" s="3"/>
      <c r="F201" s="3"/>
      <c r="G201" s="3"/>
      <c r="I201" s="3"/>
      <c r="J201" s="3"/>
    </row>
    <row r="202" spans="1:10" ht="15" x14ac:dyDescent="0.35">
      <c r="A202" s="491" t="s">
        <v>1192</v>
      </c>
      <c r="B202" s="491"/>
      <c r="C202" s="3"/>
      <c r="D202" s="14">
        <v>5650</v>
      </c>
      <c r="E202" s="3"/>
      <c r="F202" s="3"/>
      <c r="G202" s="3"/>
      <c r="I202" s="3"/>
      <c r="J202" s="3"/>
    </row>
    <row r="203" spans="1:10" x14ac:dyDescent="0.2">
      <c r="A203" s="9" t="s">
        <v>1612</v>
      </c>
      <c r="B203" s="491"/>
      <c r="C203" s="3"/>
      <c r="D203" s="3">
        <f>SUM(D194:D202)</f>
        <v>13950</v>
      </c>
      <c r="E203" s="3"/>
      <c r="F203" s="3"/>
      <c r="G203" s="3"/>
      <c r="I203" s="3"/>
      <c r="J203" s="3"/>
    </row>
    <row r="204" spans="1:10" x14ac:dyDescent="0.2">
      <c r="A204" s="9"/>
      <c r="B204" s="491"/>
      <c r="C204" s="3"/>
      <c r="E204" s="3"/>
      <c r="F204" s="3"/>
      <c r="G204" s="3"/>
      <c r="I204" s="3"/>
      <c r="J204" s="3"/>
    </row>
    <row r="205" spans="1:10" ht="13.5" x14ac:dyDescent="0.25">
      <c r="A205" s="494" t="s">
        <v>504</v>
      </c>
      <c r="B205" s="491"/>
      <c r="C205" s="491"/>
      <c r="E205" s="3">
        <v>4000</v>
      </c>
      <c r="F205" s="3">
        <v>8000</v>
      </c>
      <c r="G205" s="3">
        <v>8000</v>
      </c>
      <c r="H205" s="3">
        <v>8000</v>
      </c>
      <c r="I205" s="3">
        <v>8000</v>
      </c>
      <c r="J205" s="3"/>
    </row>
    <row r="206" spans="1:10" x14ac:dyDescent="0.2">
      <c r="A206" s="491" t="s">
        <v>505</v>
      </c>
      <c r="B206" s="491" t="s">
        <v>418</v>
      </c>
      <c r="C206" s="3"/>
      <c r="D206" s="3">
        <v>8000</v>
      </c>
      <c r="E206" s="3"/>
      <c r="F206" s="3"/>
      <c r="G206" s="3"/>
      <c r="I206" s="3"/>
      <c r="J206" s="3"/>
    </row>
    <row r="207" spans="1:10" x14ac:dyDescent="0.2">
      <c r="A207" s="491"/>
      <c r="B207" s="491"/>
      <c r="C207" s="491"/>
      <c r="D207" s="11" t="s">
        <v>418</v>
      </c>
      <c r="E207" s="3"/>
      <c r="F207" s="3"/>
      <c r="G207" s="3"/>
      <c r="I207" s="3"/>
      <c r="J207" s="3"/>
    </row>
    <row r="208" spans="1:10" ht="13.5" x14ac:dyDescent="0.25">
      <c r="A208" s="494" t="s">
        <v>506</v>
      </c>
      <c r="B208" s="491"/>
      <c r="C208" s="491"/>
      <c r="D208" s="491"/>
      <c r="E208" s="3">
        <v>27690</v>
      </c>
      <c r="F208" s="3">
        <v>27690</v>
      </c>
      <c r="G208" s="3">
        <v>27690</v>
      </c>
      <c r="H208" s="3">
        <v>31325</v>
      </c>
      <c r="I208" s="3">
        <v>31325</v>
      </c>
      <c r="J208" s="3"/>
    </row>
    <row r="209" spans="1:10" ht="13.5" x14ac:dyDescent="0.25">
      <c r="A209" s="494"/>
      <c r="B209" s="22" t="s">
        <v>2163</v>
      </c>
      <c r="C209" s="22" t="s">
        <v>2290</v>
      </c>
      <c r="D209" s="22" t="s">
        <v>2507</v>
      </c>
      <c r="E209" s="3"/>
      <c r="F209" s="3"/>
      <c r="G209" s="3"/>
      <c r="I209" s="3"/>
      <c r="J209" s="3"/>
    </row>
    <row r="210" spans="1:10" x14ac:dyDescent="0.2">
      <c r="A210" s="491" t="s">
        <v>1129</v>
      </c>
      <c r="B210" s="167">
        <v>40</v>
      </c>
      <c r="C210" s="167">
        <v>40</v>
      </c>
      <c r="D210" s="167">
        <v>40</v>
      </c>
      <c r="E210" s="3"/>
      <c r="F210" s="491"/>
      <c r="G210" s="491"/>
      <c r="H210" s="491"/>
      <c r="I210" s="557"/>
      <c r="J210" s="557"/>
    </row>
    <row r="211" spans="1:10" x14ac:dyDescent="0.2">
      <c r="A211" s="491" t="s">
        <v>1462</v>
      </c>
      <c r="B211" s="167">
        <v>50</v>
      </c>
      <c r="C211" s="167">
        <v>60</v>
      </c>
      <c r="D211" s="167">
        <v>0</v>
      </c>
      <c r="E211" s="3"/>
      <c r="F211" s="491"/>
      <c r="G211" s="491"/>
      <c r="H211" s="491"/>
      <c r="I211" s="557"/>
      <c r="J211" s="557"/>
    </row>
    <row r="212" spans="1:10" x14ac:dyDescent="0.2">
      <c r="A212" s="491" t="s">
        <v>1262</v>
      </c>
      <c r="B212" s="167">
        <v>300</v>
      </c>
      <c r="C212" s="167">
        <v>350</v>
      </c>
      <c r="D212" s="167">
        <v>375</v>
      </c>
      <c r="E212" s="3"/>
      <c r="F212" s="491"/>
      <c r="G212" s="491"/>
      <c r="H212" s="491"/>
      <c r="I212" s="557"/>
      <c r="J212" s="557"/>
    </row>
    <row r="213" spans="1:10" x14ac:dyDescent="0.2">
      <c r="A213" s="491" t="s">
        <v>293</v>
      </c>
      <c r="B213" s="167">
        <v>400</v>
      </c>
      <c r="C213" s="167">
        <v>500</v>
      </c>
      <c r="D213" s="167">
        <v>500</v>
      </c>
      <c r="E213" s="3"/>
      <c r="F213" s="3"/>
      <c r="G213" s="3"/>
      <c r="I213" s="3"/>
      <c r="J213" s="3"/>
    </row>
    <row r="214" spans="1:10" x14ac:dyDescent="0.2">
      <c r="A214" s="491" t="s">
        <v>1089</v>
      </c>
      <c r="B214" s="167">
        <v>8500</v>
      </c>
      <c r="C214" s="167">
        <v>8000</v>
      </c>
      <c r="D214" s="167">
        <v>8300</v>
      </c>
      <c r="E214" s="3"/>
      <c r="F214" s="3"/>
      <c r="G214" s="3"/>
      <c r="I214" s="3"/>
      <c r="J214" s="3"/>
    </row>
    <row r="215" spans="1:10" x14ac:dyDescent="0.2">
      <c r="A215" s="491" t="s">
        <v>1435</v>
      </c>
      <c r="B215" s="167">
        <v>7400</v>
      </c>
      <c r="C215" s="167">
        <v>7700</v>
      </c>
      <c r="D215" s="167">
        <v>12320</v>
      </c>
      <c r="E215" s="3"/>
      <c r="F215" s="3"/>
      <c r="G215" s="3"/>
      <c r="I215" s="3"/>
      <c r="J215" s="3"/>
    </row>
    <row r="216" spans="1:10" x14ac:dyDescent="0.2">
      <c r="A216" s="491" t="s">
        <v>1090</v>
      </c>
      <c r="B216" s="167">
        <v>300</v>
      </c>
      <c r="C216" s="167">
        <v>200</v>
      </c>
      <c r="D216" s="167">
        <v>300</v>
      </c>
      <c r="E216" s="3"/>
      <c r="F216" s="3"/>
      <c r="G216" s="3"/>
      <c r="I216" s="3"/>
      <c r="J216" s="3"/>
    </row>
    <row r="217" spans="1:10" x14ac:dyDescent="0.2">
      <c r="A217" s="491" t="s">
        <v>1648</v>
      </c>
      <c r="B217" s="167">
        <v>2100</v>
      </c>
      <c r="C217" s="167">
        <v>2300</v>
      </c>
      <c r="D217" s="167">
        <v>3000</v>
      </c>
      <c r="E217" s="3"/>
      <c r="F217" s="3"/>
      <c r="G217" s="3"/>
      <c r="I217" s="3"/>
      <c r="J217" s="3"/>
    </row>
    <row r="218" spans="1:10" x14ac:dyDescent="0.2">
      <c r="A218" s="491" t="s">
        <v>1188</v>
      </c>
      <c r="B218" s="167">
        <v>1200</v>
      </c>
      <c r="C218" s="167">
        <v>1200</v>
      </c>
      <c r="D218" s="167">
        <v>1500</v>
      </c>
      <c r="E218" s="3"/>
      <c r="F218" s="3"/>
      <c r="G218" s="3"/>
      <c r="I218" s="3"/>
      <c r="J218" s="3"/>
    </row>
    <row r="219" spans="1:10" x14ac:dyDescent="0.2">
      <c r="A219" s="491" t="s">
        <v>1099</v>
      </c>
      <c r="B219" s="167">
        <v>2000</v>
      </c>
      <c r="C219" s="167">
        <v>1200</v>
      </c>
      <c r="D219" s="167">
        <v>1300</v>
      </c>
      <c r="E219" s="3"/>
      <c r="F219" s="3"/>
      <c r="G219" s="3"/>
      <c r="I219" s="3"/>
      <c r="J219" s="3"/>
    </row>
    <row r="220" spans="1:10" x14ac:dyDescent="0.2">
      <c r="A220" s="491" t="s">
        <v>1132</v>
      </c>
      <c r="B220" s="167">
        <v>300</v>
      </c>
      <c r="C220" s="167">
        <v>850</v>
      </c>
      <c r="D220" s="167">
        <v>850</v>
      </c>
      <c r="E220" s="3"/>
      <c r="F220" s="3"/>
      <c r="G220" s="3"/>
      <c r="I220" s="3"/>
      <c r="J220" s="3"/>
    </row>
    <row r="221" spans="1:10" x14ac:dyDescent="0.2">
      <c r="A221" s="491" t="s">
        <v>928</v>
      </c>
      <c r="B221" s="167">
        <v>300</v>
      </c>
      <c r="C221" s="167">
        <v>300</v>
      </c>
      <c r="D221" s="167">
        <v>300</v>
      </c>
      <c r="E221" s="3"/>
      <c r="F221" s="3"/>
      <c r="G221" s="3"/>
      <c r="I221" s="3"/>
      <c r="J221" s="3"/>
    </row>
    <row r="222" spans="1:10" ht="15" x14ac:dyDescent="0.25">
      <c r="A222" s="491" t="s">
        <v>345</v>
      </c>
      <c r="B222" s="242">
        <v>100</v>
      </c>
      <c r="C222" s="242">
        <v>130</v>
      </c>
      <c r="D222" s="242">
        <v>140</v>
      </c>
      <c r="E222" s="3"/>
      <c r="F222" s="3"/>
      <c r="G222" s="3"/>
      <c r="I222" s="3"/>
      <c r="J222" s="3"/>
    </row>
    <row r="223" spans="1:10" ht="15" x14ac:dyDescent="0.25">
      <c r="A223" s="491" t="s">
        <v>1649</v>
      </c>
      <c r="B223" s="242">
        <v>200</v>
      </c>
      <c r="C223" s="242">
        <v>225</v>
      </c>
      <c r="D223" s="242">
        <v>250</v>
      </c>
      <c r="E223" s="3"/>
      <c r="F223" s="3"/>
      <c r="G223" s="3"/>
      <c r="I223" s="3"/>
      <c r="J223" s="3"/>
    </row>
    <row r="224" spans="1:10" ht="15" x14ac:dyDescent="0.25">
      <c r="A224" s="491" t="s">
        <v>1091</v>
      </c>
      <c r="B224" s="242">
        <v>1000</v>
      </c>
      <c r="C224" s="242">
        <v>1500</v>
      </c>
      <c r="D224" s="242">
        <v>4500</v>
      </c>
      <c r="E224" s="3"/>
      <c r="F224" s="3"/>
      <c r="G224" s="3"/>
      <c r="I224" s="3"/>
      <c r="J224" s="3"/>
    </row>
    <row r="225" spans="1:10" x14ac:dyDescent="0.2">
      <c r="A225" s="491" t="s">
        <v>1092</v>
      </c>
      <c r="B225" s="167">
        <v>100</v>
      </c>
      <c r="C225" s="167">
        <v>100</v>
      </c>
      <c r="D225" s="167">
        <v>100</v>
      </c>
      <c r="E225" s="3"/>
      <c r="F225" s="3"/>
      <c r="G225" s="3"/>
      <c r="I225" s="3"/>
      <c r="J225" s="3"/>
    </row>
    <row r="226" spans="1:10" x14ac:dyDescent="0.2">
      <c r="A226" s="491" t="s">
        <v>1263</v>
      </c>
      <c r="B226" s="167">
        <v>200</v>
      </c>
      <c r="C226" s="167">
        <v>200</v>
      </c>
      <c r="D226" s="167">
        <v>200</v>
      </c>
      <c r="E226" s="3"/>
      <c r="F226" s="3"/>
      <c r="G226" s="3"/>
      <c r="I226" s="3"/>
      <c r="J226" s="3"/>
    </row>
    <row r="227" spans="1:10" x14ac:dyDescent="0.2">
      <c r="A227" s="491" t="s">
        <v>1650</v>
      </c>
      <c r="B227" s="167">
        <v>1500</v>
      </c>
      <c r="C227" s="167">
        <v>1600</v>
      </c>
      <c r="D227" s="167">
        <v>1900</v>
      </c>
      <c r="E227" s="3"/>
      <c r="F227" s="3"/>
      <c r="G227" s="3"/>
      <c r="I227" s="3"/>
      <c r="J227" s="3"/>
    </row>
    <row r="228" spans="1:10" x14ac:dyDescent="0.2">
      <c r="A228" s="491" t="s">
        <v>1651</v>
      </c>
      <c r="B228" s="167">
        <v>1200</v>
      </c>
      <c r="C228" s="167">
        <v>1350</v>
      </c>
      <c r="D228" s="167">
        <v>1450</v>
      </c>
      <c r="E228" s="3"/>
      <c r="F228" s="3"/>
      <c r="G228" s="3"/>
      <c r="I228" s="3"/>
      <c r="J228" s="3"/>
    </row>
    <row r="229" spans="1:10" x14ac:dyDescent="0.2">
      <c r="A229" s="491" t="s">
        <v>1276</v>
      </c>
      <c r="B229" s="167">
        <v>500</v>
      </c>
      <c r="C229" s="167">
        <f>3185+500</f>
        <v>3685</v>
      </c>
      <c r="D229" s="167">
        <v>0</v>
      </c>
      <c r="E229" s="3"/>
      <c r="F229" s="3"/>
      <c r="G229" s="3"/>
      <c r="I229" s="3"/>
      <c r="J229" s="3"/>
    </row>
    <row r="230" spans="1:10" ht="15" x14ac:dyDescent="0.2">
      <c r="A230" s="491" t="s">
        <v>1019</v>
      </c>
      <c r="B230" s="169">
        <v>18000</v>
      </c>
      <c r="C230" s="169">
        <v>18000</v>
      </c>
      <c r="D230" s="169">
        <v>18000</v>
      </c>
      <c r="E230" s="3"/>
      <c r="F230" s="3"/>
      <c r="G230" s="3"/>
      <c r="I230" s="3"/>
      <c r="J230" s="3"/>
    </row>
    <row r="231" spans="1:10" x14ac:dyDescent="0.2">
      <c r="A231" s="491" t="s">
        <v>847</v>
      </c>
      <c r="B231" s="167">
        <f>SUM(B210:B230)</f>
        <v>45690</v>
      </c>
      <c r="C231" s="167">
        <f>SUM(C210:C230)</f>
        <v>49490</v>
      </c>
      <c r="D231" s="167">
        <f>SUM(D210:D230)</f>
        <v>55325</v>
      </c>
      <c r="E231" s="3"/>
      <c r="F231" s="3"/>
      <c r="G231" s="3"/>
      <c r="I231" s="3"/>
      <c r="J231" s="3"/>
    </row>
    <row r="232" spans="1:10" x14ac:dyDescent="0.2">
      <c r="A232" s="491" t="s">
        <v>737</v>
      </c>
      <c r="B232" s="166">
        <v>-18000</v>
      </c>
      <c r="C232" s="166">
        <v>-21800</v>
      </c>
      <c r="D232" s="166">
        <v>-24000</v>
      </c>
      <c r="E232" s="3"/>
      <c r="F232" s="3"/>
      <c r="G232" s="3"/>
      <c r="I232" s="3"/>
      <c r="J232" s="3"/>
    </row>
    <row r="233" spans="1:10" ht="15" x14ac:dyDescent="0.35">
      <c r="A233" s="491" t="s">
        <v>1523</v>
      </c>
      <c r="B233" s="168">
        <v>0</v>
      </c>
      <c r="C233" s="168">
        <v>0</v>
      </c>
      <c r="D233" s="168">
        <v>0</v>
      </c>
      <c r="E233" s="3"/>
      <c r="F233" s="3"/>
      <c r="G233" s="3"/>
      <c r="I233" s="3"/>
      <c r="J233" s="3"/>
    </row>
    <row r="234" spans="1:10" x14ac:dyDescent="0.2">
      <c r="A234" s="491" t="s">
        <v>824</v>
      </c>
      <c r="B234" s="166">
        <f>SUM(B231:B233)</f>
        <v>27690</v>
      </c>
      <c r="C234" s="166">
        <f>SUM(C231:C233)</f>
        <v>27690</v>
      </c>
      <c r="D234" s="166">
        <f>SUM(D231:D233)</f>
        <v>31325</v>
      </c>
      <c r="E234" s="3"/>
      <c r="F234" s="3"/>
      <c r="G234" s="3"/>
      <c r="I234" s="3"/>
      <c r="J234" s="3"/>
    </row>
    <row r="235" spans="1:10" x14ac:dyDescent="0.2">
      <c r="A235" s="491"/>
      <c r="B235" s="3"/>
      <c r="C235" s="166"/>
      <c r="D235" s="166"/>
      <c r="E235" s="3"/>
      <c r="F235" s="3"/>
      <c r="G235" s="3"/>
      <c r="I235" s="3"/>
      <c r="J235" s="3"/>
    </row>
    <row r="236" spans="1:10" ht="13.5" x14ac:dyDescent="0.25">
      <c r="A236" s="494" t="s">
        <v>430</v>
      </c>
      <c r="B236" s="22" t="s">
        <v>2163</v>
      </c>
      <c r="C236" s="22" t="s">
        <v>2290</v>
      </c>
      <c r="D236" s="22" t="s">
        <v>2507</v>
      </c>
      <c r="E236" s="3">
        <v>0</v>
      </c>
      <c r="F236" s="3">
        <v>0</v>
      </c>
      <c r="G236" s="3">
        <v>0</v>
      </c>
      <c r="H236" s="3">
        <v>0</v>
      </c>
      <c r="I236" s="3">
        <v>0</v>
      </c>
      <c r="J236" s="3"/>
    </row>
    <row r="237" spans="1:10" x14ac:dyDescent="0.2">
      <c r="A237" s="491" t="s">
        <v>1765</v>
      </c>
      <c r="B237" s="3">
        <v>0</v>
      </c>
      <c r="C237" s="3">
        <v>0</v>
      </c>
      <c r="D237" s="3">
        <v>0</v>
      </c>
      <c r="E237" s="3"/>
      <c r="F237" s="3"/>
      <c r="G237" s="3"/>
      <c r="I237" s="3"/>
      <c r="J237" s="3"/>
    </row>
    <row r="238" spans="1:10" x14ac:dyDescent="0.2">
      <c r="A238" s="491"/>
      <c r="B238" s="3"/>
      <c r="C238" s="3"/>
      <c r="E238" s="3"/>
      <c r="F238" s="3"/>
      <c r="G238" s="3"/>
      <c r="I238" s="3"/>
      <c r="J238" s="3"/>
    </row>
    <row r="239" spans="1:10" x14ac:dyDescent="0.2">
      <c r="A239" s="243" t="s">
        <v>983</v>
      </c>
      <c r="B239" s="22" t="s">
        <v>2163</v>
      </c>
      <c r="C239" s="22" t="s">
        <v>2290</v>
      </c>
      <c r="D239" s="22" t="s">
        <v>2507</v>
      </c>
      <c r="E239" s="3">
        <v>206609</v>
      </c>
      <c r="F239" s="3">
        <v>32500</v>
      </c>
      <c r="G239" s="3">
        <v>230000</v>
      </c>
      <c r="H239" s="3">
        <v>0</v>
      </c>
      <c r="I239" s="3">
        <v>0</v>
      </c>
      <c r="J239" s="3"/>
    </row>
    <row r="240" spans="1:10" x14ac:dyDescent="0.2">
      <c r="A240" s="27" t="s">
        <v>2436</v>
      </c>
      <c r="B240" s="3">
        <v>0</v>
      </c>
      <c r="C240" s="3">
        <v>32500</v>
      </c>
      <c r="D240" s="3">
        <v>0</v>
      </c>
      <c r="E240" s="3"/>
      <c r="F240" s="3"/>
      <c r="G240" s="3"/>
      <c r="I240" s="3"/>
      <c r="J240" s="3"/>
    </row>
    <row r="241" spans="1:10" x14ac:dyDescent="0.2">
      <c r="A241" s="27" t="s">
        <v>2544</v>
      </c>
      <c r="B241" s="3">
        <v>0</v>
      </c>
      <c r="C241" s="3">
        <v>0</v>
      </c>
      <c r="D241" s="3">
        <v>230000</v>
      </c>
      <c r="E241" s="3"/>
      <c r="F241" s="3"/>
      <c r="G241" s="3"/>
      <c r="I241" s="3"/>
      <c r="J241" s="3"/>
    </row>
    <row r="242" spans="1:10" x14ac:dyDescent="0.2">
      <c r="A242" s="27" t="s">
        <v>2103</v>
      </c>
      <c r="B242" s="3">
        <v>37000</v>
      </c>
      <c r="C242" s="3">
        <v>0</v>
      </c>
      <c r="D242" s="3">
        <v>0</v>
      </c>
      <c r="E242" s="3"/>
      <c r="F242" s="3"/>
      <c r="G242" s="3"/>
      <c r="I242" s="3"/>
      <c r="J242" s="3"/>
    </row>
    <row r="243" spans="1:10" x14ac:dyDescent="0.2">
      <c r="A243" s="27" t="s">
        <v>2194</v>
      </c>
      <c r="B243" s="3">
        <v>0</v>
      </c>
      <c r="C243" s="3">
        <v>26400</v>
      </c>
      <c r="D243" s="3">
        <v>0</v>
      </c>
      <c r="E243" s="3"/>
      <c r="F243" s="3"/>
      <c r="G243" s="3"/>
      <c r="I243" s="3"/>
      <c r="J243" s="3"/>
    </row>
    <row r="244" spans="1:10" ht="15" x14ac:dyDescent="0.35">
      <c r="A244" s="27" t="s">
        <v>2195</v>
      </c>
      <c r="B244" s="14">
        <v>0</v>
      </c>
      <c r="C244" s="14">
        <v>14800</v>
      </c>
      <c r="D244" s="14">
        <v>0</v>
      </c>
      <c r="E244" s="14"/>
      <c r="F244" s="3"/>
      <c r="G244" s="3"/>
      <c r="I244" s="3"/>
      <c r="J244" s="3"/>
    </row>
    <row r="245" spans="1:10" x14ac:dyDescent="0.2">
      <c r="A245" s="87"/>
      <c r="B245" s="3">
        <f>SUM(B240:B244)</f>
        <v>37000</v>
      </c>
      <c r="C245" s="3">
        <f>SUM(C240:C244)</f>
        <v>73700</v>
      </c>
      <c r="D245" s="3">
        <f>SUM(D240:D244)</f>
        <v>230000</v>
      </c>
      <c r="E245" s="3"/>
      <c r="F245" s="3"/>
      <c r="G245" s="3"/>
      <c r="I245" s="3"/>
      <c r="J245" s="3"/>
    </row>
    <row r="246" spans="1:10" x14ac:dyDescent="0.2">
      <c r="A246" s="87"/>
      <c r="B246" s="3"/>
      <c r="C246" s="3"/>
      <c r="E246" s="3"/>
      <c r="F246" s="3"/>
      <c r="G246" s="3"/>
      <c r="I246" s="3"/>
      <c r="J246" s="3"/>
    </row>
    <row r="247" spans="1:10" ht="13.5" x14ac:dyDescent="0.25">
      <c r="A247" s="494" t="s">
        <v>430</v>
      </c>
      <c r="B247" s="3"/>
      <c r="C247" s="3"/>
      <c r="E247" s="3">
        <v>0</v>
      </c>
      <c r="F247" s="3"/>
      <c r="G247" s="3"/>
      <c r="I247" s="3"/>
      <c r="J247" s="3"/>
    </row>
    <row r="248" spans="1:10" s="415" customFormat="1" ht="13.5" x14ac:dyDescent="0.25">
      <c r="A248" s="494"/>
      <c r="B248" s="3"/>
      <c r="C248" s="3"/>
      <c r="D248" s="3"/>
      <c r="E248" s="3"/>
      <c r="F248" s="3"/>
      <c r="G248" s="3"/>
      <c r="H248" s="3"/>
      <c r="I248" s="3"/>
      <c r="J248" s="3"/>
    </row>
    <row r="249" spans="1:10" s="415" customFormat="1" ht="13.5" x14ac:dyDescent="0.25">
      <c r="A249" s="494" t="s">
        <v>1496</v>
      </c>
      <c r="B249" s="22" t="s">
        <v>2163</v>
      </c>
      <c r="C249" s="22" t="s">
        <v>2290</v>
      </c>
      <c r="D249" s="22" t="s">
        <v>2507</v>
      </c>
      <c r="E249" s="3"/>
      <c r="F249" s="3"/>
      <c r="G249" s="3"/>
      <c r="H249" s="3"/>
      <c r="I249" s="3"/>
      <c r="J249" s="3"/>
    </row>
    <row r="250" spans="1:10" s="415" customFormat="1" ht="15" x14ac:dyDescent="0.35">
      <c r="A250" s="491" t="s">
        <v>433</v>
      </c>
      <c r="B250" s="3">
        <v>5000</v>
      </c>
      <c r="C250" s="3">
        <v>5000</v>
      </c>
      <c r="D250" s="3">
        <v>5000</v>
      </c>
      <c r="E250" s="14">
        <v>5000</v>
      </c>
      <c r="F250" s="14">
        <v>5000</v>
      </c>
      <c r="G250" s="14">
        <v>5000</v>
      </c>
      <c r="H250" s="14">
        <v>5000</v>
      </c>
      <c r="I250" s="14">
        <v>5000</v>
      </c>
      <c r="J250" s="14"/>
    </row>
    <row r="251" spans="1:10" x14ac:dyDescent="0.2">
      <c r="A251" s="491"/>
      <c r="B251" s="3"/>
      <c r="C251" s="3"/>
      <c r="E251" s="3"/>
      <c r="F251" s="3"/>
      <c r="G251" s="3"/>
      <c r="I251" s="3"/>
      <c r="J251" s="3"/>
    </row>
    <row r="252" spans="1:10" x14ac:dyDescent="0.2">
      <c r="A252" s="491"/>
      <c r="B252" s="3"/>
      <c r="C252" s="3"/>
      <c r="E252" s="3"/>
      <c r="F252" s="3"/>
      <c r="G252" s="3"/>
      <c r="I252" s="3"/>
      <c r="J252" s="3"/>
    </row>
    <row r="253" spans="1:10" x14ac:dyDescent="0.2">
      <c r="A253" s="491" t="s">
        <v>1405</v>
      </c>
      <c r="B253" s="491"/>
      <c r="C253" s="3"/>
      <c r="E253" s="3">
        <f>SUM(E6:E251)</f>
        <v>712853</v>
      </c>
      <c r="F253" s="3">
        <f>SUM(F6:F251)</f>
        <v>562788</v>
      </c>
      <c r="G253" s="3">
        <f t="shared" ref="G253:J253" si="1">SUM(G6:G251)</f>
        <v>754630</v>
      </c>
      <c r="H253" s="3">
        <f t="shared" ref="H253" si="2">SUM(H6:H251)</f>
        <v>528265</v>
      </c>
      <c r="I253" s="3">
        <f t="shared" si="1"/>
        <v>534484</v>
      </c>
      <c r="J253" s="3">
        <f t="shared" si="1"/>
        <v>0</v>
      </c>
    </row>
    <row r="254" spans="1:10" x14ac:dyDescent="0.2">
      <c r="A254" s="491"/>
      <c r="B254" s="491"/>
      <c r="C254" s="3"/>
      <c r="E254" s="3"/>
      <c r="F254" s="3"/>
      <c r="G254" s="3"/>
      <c r="I254" s="3"/>
      <c r="J254" s="3"/>
    </row>
    <row r="255" spans="1:10" x14ac:dyDescent="0.2">
      <c r="A255" s="491" t="s">
        <v>1050</v>
      </c>
      <c r="B255" s="491"/>
      <c r="C255" s="491"/>
      <c r="E255" s="3">
        <f t="shared" ref="E255:J255" si="3">SUM(E6:E68)</f>
        <v>231533</v>
      </c>
      <c r="F255" s="3">
        <f t="shared" si="3"/>
        <v>246602</v>
      </c>
      <c r="G255" s="3">
        <f t="shared" si="3"/>
        <v>244376</v>
      </c>
      <c r="H255" s="3">
        <f t="shared" ref="H255" si="4">SUM(H6:H68)</f>
        <v>244376</v>
      </c>
      <c r="I255" s="3">
        <f t="shared" si="3"/>
        <v>250595</v>
      </c>
      <c r="J255" s="3">
        <f t="shared" si="3"/>
        <v>0</v>
      </c>
    </row>
    <row r="256" spans="1:10" x14ac:dyDescent="0.2">
      <c r="A256" s="491" t="s">
        <v>1024</v>
      </c>
      <c r="B256" s="491"/>
      <c r="C256" s="491"/>
      <c r="E256" s="3">
        <f t="shared" ref="E256:J256" si="5">SUM(E70:E232)</f>
        <v>269711</v>
      </c>
      <c r="F256" s="3">
        <f t="shared" si="5"/>
        <v>278686</v>
      </c>
      <c r="G256" s="3">
        <f t="shared" si="5"/>
        <v>275254</v>
      </c>
      <c r="H256" s="3">
        <f t="shared" ref="H256" si="6">SUM(H70:H232)</f>
        <v>278889</v>
      </c>
      <c r="I256" s="3">
        <f t="shared" si="5"/>
        <v>278889</v>
      </c>
      <c r="J256" s="3">
        <f t="shared" si="5"/>
        <v>0</v>
      </c>
    </row>
    <row r="257" spans="1:10" ht="15" x14ac:dyDescent="0.35">
      <c r="A257" s="491" t="s">
        <v>1025</v>
      </c>
      <c r="B257" s="491"/>
      <c r="C257" s="491"/>
      <c r="E257" s="14">
        <f>SUM(E234:E251)</f>
        <v>211609</v>
      </c>
      <c r="F257" s="14">
        <f t="shared" ref="F257:J257" si="7">SUM(F234:F251)</f>
        <v>37500</v>
      </c>
      <c r="G257" s="14">
        <f t="shared" si="7"/>
        <v>235000</v>
      </c>
      <c r="H257" s="14">
        <f t="shared" ref="H257" si="8">SUM(H234:H251)</f>
        <v>5000</v>
      </c>
      <c r="I257" s="14">
        <f>SUM(I234:I251)</f>
        <v>5000</v>
      </c>
      <c r="J257" s="14">
        <f t="shared" si="7"/>
        <v>0</v>
      </c>
    </row>
    <row r="258" spans="1:10" x14ac:dyDescent="0.2">
      <c r="A258" s="491" t="s">
        <v>1320</v>
      </c>
      <c r="B258" s="491"/>
      <c r="C258" s="491"/>
      <c r="E258" s="3">
        <f t="shared" ref="E258:J258" si="9">SUM(E255:E257)</f>
        <v>712853</v>
      </c>
      <c r="F258" s="3">
        <f t="shared" si="9"/>
        <v>562788</v>
      </c>
      <c r="G258" s="3">
        <f t="shared" si="9"/>
        <v>754630</v>
      </c>
      <c r="H258" s="3">
        <f t="shared" ref="H258" si="10">SUM(H255:H257)</f>
        <v>528265</v>
      </c>
      <c r="I258" s="3">
        <f>SUM(I255:I257)</f>
        <v>534484</v>
      </c>
      <c r="J258" s="3">
        <f t="shared" si="9"/>
        <v>0</v>
      </c>
    </row>
    <row r="259" spans="1:10" x14ac:dyDescent="0.2">
      <c r="A259" s="491"/>
      <c r="B259" s="491"/>
      <c r="C259" s="491"/>
      <c r="E259" s="491"/>
      <c r="F259" s="491"/>
      <c r="G259" s="491"/>
      <c r="H259" s="491"/>
      <c r="I259" s="413"/>
      <c r="J259" s="3"/>
    </row>
    <row r="260" spans="1:10" x14ac:dyDescent="0.2">
      <c r="A260" s="491"/>
      <c r="B260" s="491"/>
      <c r="C260" s="491"/>
      <c r="E260" s="491"/>
      <c r="F260" s="3"/>
      <c r="G260" s="491"/>
      <c r="H260" s="491"/>
      <c r="I260" s="413"/>
      <c r="J260" s="3">
        <v>6219</v>
      </c>
    </row>
    <row r="261" spans="1:10" x14ac:dyDescent="0.2">
      <c r="A261" s="491"/>
      <c r="B261" s="491"/>
      <c r="C261" s="491"/>
      <c r="E261" s="491"/>
      <c r="F261" s="491"/>
      <c r="G261" s="491"/>
      <c r="H261" s="491"/>
      <c r="I261" s="3">
        <f>I258-H258</f>
        <v>6219</v>
      </c>
      <c r="J261" s="3">
        <f>J258-H258</f>
        <v>-528265</v>
      </c>
    </row>
    <row r="262" spans="1:10" x14ac:dyDescent="0.2">
      <c r="A262" s="491"/>
      <c r="B262" s="491"/>
      <c r="C262" s="491"/>
      <c r="E262" s="491"/>
      <c r="F262" s="491"/>
      <c r="G262" s="491"/>
      <c r="H262" s="491"/>
      <c r="I262" s="413"/>
      <c r="J262" s="3">
        <f>J260-J261</f>
        <v>534484</v>
      </c>
    </row>
    <row r="263" spans="1:10" x14ac:dyDescent="0.2">
      <c r="A263" s="491"/>
      <c r="B263" s="491"/>
      <c r="C263" s="491"/>
      <c r="E263" s="491"/>
      <c r="F263" s="491"/>
      <c r="G263" s="491"/>
      <c r="H263" s="491"/>
      <c r="I263" s="413"/>
    </row>
    <row r="264" spans="1:10" x14ac:dyDescent="0.2">
      <c r="A264" s="491"/>
      <c r="B264" s="491"/>
      <c r="C264" s="491"/>
      <c r="E264" s="491"/>
      <c r="F264" s="491"/>
      <c r="G264" s="491"/>
      <c r="H264" s="491"/>
      <c r="I264" s="413"/>
    </row>
    <row r="265" spans="1:10" x14ac:dyDescent="0.2">
      <c r="A265" s="491"/>
      <c r="B265" s="491"/>
      <c r="C265" s="491"/>
      <c r="E265" s="491"/>
      <c r="F265" s="491"/>
      <c r="G265" s="491"/>
      <c r="H265" s="491"/>
      <c r="I265" s="413"/>
    </row>
    <row r="266" spans="1:10" x14ac:dyDescent="0.2">
      <c r="A266" s="491"/>
      <c r="B266" s="491"/>
      <c r="C266" s="491"/>
      <c r="E266" s="491"/>
      <c r="F266" s="491"/>
      <c r="G266" s="491"/>
      <c r="H266" s="491"/>
      <c r="I266" s="413"/>
    </row>
    <row r="267" spans="1:10" x14ac:dyDescent="0.2">
      <c r="A267" s="491"/>
      <c r="B267" s="491"/>
      <c r="C267" s="491"/>
      <c r="E267" s="491"/>
      <c r="F267" s="491"/>
      <c r="G267" s="491"/>
      <c r="H267" s="491"/>
      <c r="I267" s="413"/>
    </row>
    <row r="268" spans="1:10" x14ac:dyDescent="0.2">
      <c r="A268" s="491"/>
      <c r="B268" s="491"/>
      <c r="C268" s="491"/>
      <c r="E268" s="491"/>
      <c r="F268" s="491"/>
      <c r="G268" s="491"/>
      <c r="H268" s="491"/>
      <c r="I268" s="413"/>
    </row>
    <row r="269" spans="1:10" x14ac:dyDescent="0.2">
      <c r="A269" s="491"/>
      <c r="B269" s="491"/>
      <c r="C269" s="491"/>
      <c r="E269" s="491"/>
      <c r="F269" s="491"/>
      <c r="G269" s="491"/>
      <c r="H269" s="491"/>
      <c r="I269" s="413"/>
    </row>
    <row r="270" spans="1:10" x14ac:dyDescent="0.2">
      <c r="A270" s="491"/>
      <c r="B270" s="491"/>
      <c r="C270" s="491"/>
      <c r="E270" s="491"/>
      <c r="F270" s="491"/>
      <c r="G270" s="491"/>
      <c r="H270" s="491"/>
      <c r="I270" s="413"/>
    </row>
    <row r="271" spans="1:10" x14ac:dyDescent="0.2">
      <c r="A271" s="491"/>
      <c r="B271" s="491"/>
      <c r="C271" s="491"/>
      <c r="E271" s="491"/>
      <c r="F271" s="491"/>
      <c r="G271" s="491"/>
      <c r="H271" s="491"/>
      <c r="I271" s="413"/>
    </row>
    <row r="272" spans="1:10" x14ac:dyDescent="0.2">
      <c r="A272" s="491"/>
      <c r="B272" s="491"/>
      <c r="C272" s="491"/>
      <c r="E272" s="491"/>
      <c r="F272" s="491"/>
      <c r="G272" s="491"/>
      <c r="H272" s="491"/>
      <c r="I272" s="413"/>
    </row>
    <row r="273" spans="1:9" x14ac:dyDescent="0.2">
      <c r="A273" s="491"/>
      <c r="B273" s="491"/>
      <c r="C273" s="491"/>
      <c r="E273" s="491"/>
      <c r="F273" s="491"/>
      <c r="G273" s="491"/>
      <c r="H273" s="491"/>
      <c r="I273" s="413"/>
    </row>
    <row r="274" spans="1:9" x14ac:dyDescent="0.2">
      <c r="A274" s="491"/>
      <c r="B274" s="491"/>
      <c r="C274" s="491"/>
      <c r="E274" s="491"/>
      <c r="F274" s="491"/>
      <c r="G274" s="491"/>
      <c r="H274" s="491"/>
      <c r="I274" s="413"/>
    </row>
    <row r="275" spans="1:9" x14ac:dyDescent="0.2">
      <c r="A275" s="491"/>
      <c r="B275" s="491"/>
      <c r="C275" s="491"/>
      <c r="E275" s="491"/>
      <c r="F275" s="491"/>
      <c r="G275" s="491"/>
      <c r="H275" s="491"/>
      <c r="I275" s="413"/>
    </row>
    <row r="276" spans="1:9" x14ac:dyDescent="0.2">
      <c r="A276" s="491"/>
      <c r="B276" s="491"/>
      <c r="C276" s="491"/>
      <c r="E276" s="491"/>
      <c r="F276" s="491"/>
      <c r="G276" s="491"/>
      <c r="H276" s="491"/>
      <c r="I276" s="413"/>
    </row>
    <row r="277" spans="1:9" x14ac:dyDescent="0.2">
      <c r="A277" s="491"/>
      <c r="B277" s="491"/>
      <c r="C277" s="491"/>
      <c r="E277" s="491"/>
      <c r="F277" s="491"/>
      <c r="G277" s="491"/>
      <c r="H277" s="491"/>
      <c r="I277" s="413"/>
    </row>
    <row r="278" spans="1:9" x14ac:dyDescent="0.2">
      <c r="A278" s="491"/>
      <c r="B278" s="491"/>
      <c r="C278" s="491"/>
      <c r="E278" s="491"/>
      <c r="F278" s="491"/>
      <c r="G278" s="491"/>
      <c r="H278" s="491"/>
      <c r="I278" s="413"/>
    </row>
    <row r="279" spans="1:9" x14ac:dyDescent="0.2">
      <c r="A279" s="491"/>
      <c r="B279" s="491"/>
      <c r="C279" s="491"/>
      <c r="E279" s="491"/>
      <c r="F279" s="491"/>
      <c r="G279" s="491"/>
      <c r="H279" s="491"/>
      <c r="I279" s="413"/>
    </row>
    <row r="280" spans="1:9" x14ac:dyDescent="0.2">
      <c r="A280" s="491"/>
      <c r="B280" s="491"/>
      <c r="C280" s="491"/>
      <c r="E280" s="491"/>
      <c r="F280" s="491"/>
      <c r="G280" s="491"/>
      <c r="H280" s="491"/>
      <c r="I280" s="413"/>
    </row>
    <row r="281" spans="1:9" x14ac:dyDescent="0.2">
      <c r="A281" s="491"/>
      <c r="B281" s="491"/>
      <c r="C281" s="491"/>
      <c r="E281" s="491"/>
      <c r="F281" s="491"/>
      <c r="G281" s="491"/>
      <c r="H281" s="491"/>
      <c r="I281" s="413"/>
    </row>
    <row r="282" spans="1:9" x14ac:dyDescent="0.2">
      <c r="A282" s="491"/>
      <c r="B282" s="491"/>
      <c r="C282" s="491"/>
      <c r="E282" s="491"/>
      <c r="F282" s="491"/>
      <c r="G282" s="491"/>
      <c r="H282" s="491"/>
      <c r="I282" s="413"/>
    </row>
    <row r="283" spans="1:9" x14ac:dyDescent="0.2">
      <c r="A283" s="491"/>
      <c r="B283" s="491"/>
      <c r="C283" s="491"/>
      <c r="E283" s="491"/>
      <c r="F283" s="491"/>
      <c r="G283" s="491"/>
      <c r="H283" s="491"/>
      <c r="I283" s="413"/>
    </row>
    <row r="284" spans="1:9" x14ac:dyDescent="0.2">
      <c r="A284" s="491"/>
      <c r="B284" s="491"/>
      <c r="C284" s="491"/>
      <c r="E284" s="491"/>
      <c r="F284" s="491"/>
      <c r="G284" s="491"/>
      <c r="H284" s="491"/>
      <c r="I284" s="413"/>
    </row>
    <row r="285" spans="1:9" x14ac:dyDescent="0.2">
      <c r="A285" s="491"/>
      <c r="B285" s="491"/>
      <c r="C285" s="491"/>
      <c r="E285" s="491"/>
      <c r="F285" s="491"/>
      <c r="G285" s="491"/>
      <c r="H285" s="491"/>
      <c r="I285" s="413"/>
    </row>
    <row r="286" spans="1:9" x14ac:dyDescent="0.2">
      <c r="A286" s="491"/>
      <c r="B286" s="491"/>
      <c r="C286" s="491"/>
      <c r="E286" s="491"/>
      <c r="F286" s="491"/>
      <c r="G286" s="491"/>
      <c r="H286" s="491"/>
      <c r="I286" s="413"/>
    </row>
    <row r="287" spans="1:9" x14ac:dyDescent="0.2">
      <c r="A287" s="491"/>
      <c r="B287" s="491"/>
      <c r="C287" s="491"/>
      <c r="E287" s="491"/>
      <c r="F287" s="491"/>
      <c r="G287" s="491"/>
      <c r="H287" s="491"/>
      <c r="I287" s="413"/>
    </row>
    <row r="288" spans="1:9" x14ac:dyDescent="0.2">
      <c r="A288" s="491"/>
      <c r="B288" s="491"/>
      <c r="C288" s="491"/>
      <c r="E288" s="491"/>
      <c r="F288" s="491"/>
      <c r="G288" s="491"/>
      <c r="H288" s="491"/>
      <c r="I288" s="413"/>
    </row>
    <row r="289" spans="1:9" x14ac:dyDescent="0.2">
      <c r="A289" s="491"/>
      <c r="B289" s="491"/>
      <c r="C289" s="491"/>
      <c r="E289" s="491"/>
      <c r="F289" s="491"/>
      <c r="G289" s="491"/>
      <c r="H289" s="491"/>
      <c r="I289" s="413"/>
    </row>
    <row r="290" spans="1:9" x14ac:dyDescent="0.2">
      <c r="A290" s="491"/>
      <c r="B290" s="491"/>
      <c r="C290" s="491"/>
      <c r="E290" s="491"/>
      <c r="F290" s="491"/>
      <c r="G290" s="491"/>
      <c r="H290" s="491"/>
      <c r="I290" s="413"/>
    </row>
    <row r="291" spans="1:9" x14ac:dyDescent="0.2">
      <c r="A291" s="491"/>
      <c r="B291" s="491"/>
      <c r="C291" s="491"/>
      <c r="E291" s="491"/>
      <c r="F291" s="491"/>
      <c r="G291" s="491"/>
      <c r="H291" s="491"/>
      <c r="I291" s="413"/>
    </row>
    <row r="292" spans="1:9" x14ac:dyDescent="0.2">
      <c r="A292" s="491"/>
      <c r="B292" s="491"/>
      <c r="C292" s="491"/>
      <c r="E292" s="491"/>
      <c r="F292" s="491"/>
      <c r="G292" s="491"/>
      <c r="H292" s="491"/>
      <c r="I292" s="413"/>
    </row>
    <row r="293" spans="1:9" x14ac:dyDescent="0.2">
      <c r="A293" s="491"/>
      <c r="B293" s="491"/>
      <c r="C293" s="491"/>
      <c r="E293" s="491"/>
      <c r="F293" s="491"/>
      <c r="G293" s="491"/>
      <c r="H293" s="491"/>
      <c r="I293" s="413"/>
    </row>
    <row r="294" spans="1:9" x14ac:dyDescent="0.2">
      <c r="A294" s="491"/>
      <c r="B294" s="491"/>
      <c r="C294" s="491"/>
      <c r="E294" s="491"/>
      <c r="F294" s="491"/>
      <c r="G294" s="491"/>
      <c r="H294" s="491"/>
      <c r="I294" s="413"/>
    </row>
    <row r="295" spans="1:9" x14ac:dyDescent="0.2">
      <c r="A295" s="491"/>
      <c r="B295" s="491"/>
      <c r="C295" s="491"/>
      <c r="E295" s="491"/>
      <c r="F295" s="491"/>
      <c r="G295" s="491"/>
      <c r="H295" s="491"/>
      <c r="I295" s="413"/>
    </row>
    <row r="296" spans="1:9" x14ac:dyDescent="0.2">
      <c r="A296" s="491"/>
      <c r="B296" s="491"/>
      <c r="C296" s="491"/>
      <c r="E296" s="491"/>
      <c r="F296" s="491"/>
      <c r="G296" s="491"/>
      <c r="H296" s="491"/>
    </row>
    <row r="297" spans="1:9" x14ac:dyDescent="0.2">
      <c r="A297" s="491"/>
      <c r="B297" s="491"/>
      <c r="C297" s="491"/>
      <c r="E297" s="491"/>
      <c r="F297" s="491"/>
      <c r="G297" s="491"/>
      <c r="H297" s="491"/>
    </row>
    <row r="298" spans="1:9" x14ac:dyDescent="0.2">
      <c r="A298" s="491"/>
      <c r="B298" s="491"/>
      <c r="C298" s="491"/>
      <c r="E298" s="491"/>
      <c r="F298" s="491"/>
      <c r="G298" s="491"/>
      <c r="H298" s="491"/>
    </row>
    <row r="299" spans="1:9" x14ac:dyDescent="0.2">
      <c r="A299" s="491"/>
      <c r="B299" s="491"/>
      <c r="C299" s="491"/>
      <c r="E299" s="491"/>
      <c r="F299" s="491"/>
      <c r="G299" s="491"/>
      <c r="H299" s="491"/>
    </row>
    <row r="300" spans="1:9" x14ac:dyDescent="0.2">
      <c r="A300" s="491"/>
      <c r="B300" s="491"/>
      <c r="C300" s="491"/>
      <c r="E300" s="491"/>
      <c r="F300" s="491"/>
      <c r="G300" s="491"/>
      <c r="H300" s="491"/>
    </row>
    <row r="301" spans="1:9" x14ac:dyDescent="0.2">
      <c r="A301" s="491"/>
      <c r="B301" s="491"/>
      <c r="C301" s="491"/>
      <c r="E301" s="491"/>
      <c r="F301" s="491"/>
      <c r="G301" s="491"/>
      <c r="H301" s="491"/>
    </row>
    <row r="302" spans="1:9" x14ac:dyDescent="0.2">
      <c r="A302" s="491"/>
      <c r="B302" s="491"/>
      <c r="C302" s="491"/>
      <c r="E302" s="491"/>
      <c r="F302" s="491"/>
      <c r="G302" s="491"/>
      <c r="H302" s="491"/>
    </row>
    <row r="303" spans="1:9" x14ac:dyDescent="0.2">
      <c r="A303" s="491"/>
      <c r="B303" s="491"/>
      <c r="C303" s="491"/>
      <c r="E303" s="491"/>
      <c r="F303" s="491"/>
      <c r="G303" s="491"/>
      <c r="H303" s="491"/>
    </row>
    <row r="304" spans="1:9" x14ac:dyDescent="0.2">
      <c r="A304" s="491"/>
      <c r="B304" s="491"/>
      <c r="C304" s="491"/>
      <c r="E304" s="491"/>
      <c r="F304" s="491"/>
      <c r="G304" s="491"/>
      <c r="H304" s="491"/>
    </row>
    <row r="305" spans="1:8" x14ac:dyDescent="0.2">
      <c r="A305" s="491"/>
      <c r="B305" s="491"/>
      <c r="C305" s="491"/>
      <c r="E305" s="491"/>
      <c r="F305" s="491"/>
      <c r="G305" s="491"/>
      <c r="H305" s="491"/>
    </row>
    <row r="306" spans="1:8" x14ac:dyDescent="0.2">
      <c r="A306" s="491"/>
      <c r="B306" s="491"/>
      <c r="C306" s="491"/>
      <c r="E306" s="491"/>
      <c r="F306" s="491"/>
      <c r="G306" s="491"/>
      <c r="H306" s="491"/>
    </row>
    <row r="307" spans="1:8" x14ac:dyDescent="0.2">
      <c r="A307" s="491"/>
      <c r="B307" s="491"/>
      <c r="C307" s="491"/>
      <c r="E307" s="491"/>
      <c r="F307" s="491"/>
      <c r="G307" s="491"/>
      <c r="H307" s="491"/>
    </row>
    <row r="308" spans="1:8" x14ac:dyDescent="0.2">
      <c r="A308" s="491"/>
      <c r="B308" s="491"/>
      <c r="C308" s="491"/>
      <c r="E308" s="491"/>
      <c r="F308" s="491"/>
      <c r="G308" s="491"/>
      <c r="H308" s="491"/>
    </row>
    <row r="309" spans="1:8" x14ac:dyDescent="0.2">
      <c r="A309" s="491"/>
      <c r="B309" s="491"/>
      <c r="C309" s="491"/>
      <c r="E309" s="491"/>
      <c r="F309" s="491"/>
      <c r="G309" s="491"/>
      <c r="H309" s="491"/>
    </row>
    <row r="310" spans="1:8" x14ac:dyDescent="0.2">
      <c r="A310" s="491"/>
      <c r="B310" s="491"/>
      <c r="C310" s="491"/>
      <c r="E310" s="491"/>
      <c r="F310" s="491"/>
      <c r="G310" s="491"/>
      <c r="H310" s="491"/>
    </row>
    <row r="311" spans="1:8" x14ac:dyDescent="0.2">
      <c r="H311" s="348"/>
    </row>
    <row r="312" spans="1:8" x14ac:dyDescent="0.2">
      <c r="H312" s="348"/>
    </row>
    <row r="313" spans="1:8" x14ac:dyDescent="0.2">
      <c r="H313" s="348"/>
    </row>
    <row r="314" spans="1:8" x14ac:dyDescent="0.2">
      <c r="H314" s="348"/>
    </row>
    <row r="315" spans="1:8" x14ac:dyDescent="0.2">
      <c r="H315" s="348"/>
    </row>
    <row r="316" spans="1:8" x14ac:dyDescent="0.2">
      <c r="H316" s="348"/>
    </row>
    <row r="317" spans="1:8" x14ac:dyDescent="0.2">
      <c r="H317" s="348"/>
    </row>
    <row r="318" spans="1:8" x14ac:dyDescent="0.2">
      <c r="H318" s="348"/>
    </row>
    <row r="319" spans="1:8" x14ac:dyDescent="0.2">
      <c r="H319" s="348"/>
    </row>
    <row r="320" spans="1:8" x14ac:dyDescent="0.2">
      <c r="H320" s="348"/>
    </row>
    <row r="321" spans="8:8" x14ac:dyDescent="0.2">
      <c r="H321" s="348"/>
    </row>
    <row r="322" spans="8:8" x14ac:dyDescent="0.2">
      <c r="H322" s="348"/>
    </row>
    <row r="323" spans="8:8" x14ac:dyDescent="0.2">
      <c r="H323" s="348"/>
    </row>
    <row r="324" spans="8:8" x14ac:dyDescent="0.2">
      <c r="H324" s="348"/>
    </row>
    <row r="325" spans="8:8" x14ac:dyDescent="0.2">
      <c r="H325" s="348"/>
    </row>
    <row r="326" spans="8:8" x14ac:dyDescent="0.2">
      <c r="H326" s="348"/>
    </row>
    <row r="327" spans="8:8" x14ac:dyDescent="0.2">
      <c r="H327" s="348"/>
    </row>
    <row r="328" spans="8:8" x14ac:dyDescent="0.2">
      <c r="H328" s="348"/>
    </row>
    <row r="329" spans="8:8" x14ac:dyDescent="0.2">
      <c r="H329" s="348"/>
    </row>
    <row r="330" spans="8:8" x14ac:dyDescent="0.2">
      <c r="H330" s="348"/>
    </row>
    <row r="331" spans="8:8" x14ac:dyDescent="0.2">
      <c r="H331" s="348"/>
    </row>
    <row r="332" spans="8:8" x14ac:dyDescent="0.2">
      <c r="H332" s="348"/>
    </row>
  </sheetData>
  <mergeCells count="1">
    <mergeCell ref="A1:J1"/>
  </mergeCells>
  <phoneticPr fontId="0" type="noConversion"/>
  <printOptions gridLines="1"/>
  <pageMargins left="0.75" right="0.16" top="0.51" bottom="0.22" header="0.5" footer="0"/>
  <pageSetup scale="83" fitToHeight="16" orientation="landscape" r:id="rId1"/>
  <headerFooter alignWithMargins="0"/>
  <rowBreaks count="3" manualBreakCount="3">
    <brk id="158" max="9" man="1"/>
    <brk id="204" max="9" man="1"/>
    <brk id="246" max="9"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80"/>
  <sheetViews>
    <sheetView view="pageBreakPreview" zoomScaleNormal="100" zoomScaleSheetLayoutView="100" workbookViewId="0">
      <pane ySplit="5" topLeftCell="A237" activePane="bottomLeft" state="frozen"/>
      <selection activeCell="D43" sqref="D43"/>
      <selection pane="bottomLeft" activeCell="J256" sqref="J256"/>
    </sheetView>
  </sheetViews>
  <sheetFormatPr defaultColWidth="8.85546875" defaultRowHeight="12.75" x14ac:dyDescent="0.2"/>
  <cols>
    <col min="1" max="1" width="53" style="348" customWidth="1"/>
    <col min="2" max="2" width="9.140625" style="348" bestFit="1" customWidth="1"/>
    <col min="3" max="3" width="9.28515625" style="348" bestFit="1" customWidth="1"/>
    <col min="4" max="4" width="11" style="348" customWidth="1"/>
    <col min="5" max="6" width="10.85546875" style="348" customWidth="1"/>
    <col min="7" max="7" width="12.5703125" style="348" customWidth="1"/>
    <col min="8" max="8" width="12.140625" style="3" customWidth="1"/>
    <col min="9" max="10" width="10.42578125" style="348" bestFit="1" customWidth="1"/>
    <col min="11" max="16384" width="8.85546875" style="348"/>
  </cols>
  <sheetData>
    <row r="1" spans="1:11" x14ac:dyDescent="0.2">
      <c r="A1" s="562" t="str">
        <f>'SUMMARY BY FUND'!A1:J1</f>
        <v>2023-24 BUDGET</v>
      </c>
      <c r="B1" s="563"/>
      <c r="C1" s="563"/>
      <c r="D1" s="563"/>
      <c r="E1" s="563"/>
      <c r="F1" s="563"/>
      <c r="G1" s="563"/>
      <c r="H1" s="563"/>
      <c r="I1" s="563"/>
      <c r="J1" s="563"/>
    </row>
    <row r="2" spans="1:11" ht="18.75" x14ac:dyDescent="0.3">
      <c r="A2" s="304" t="s">
        <v>1880</v>
      </c>
      <c r="B2" s="304"/>
      <c r="C2" s="304"/>
      <c r="D2" s="304"/>
      <c r="E2" s="304"/>
      <c r="F2" s="349"/>
      <c r="G2" s="349"/>
      <c r="H2" s="305"/>
      <c r="I2" s="349"/>
      <c r="J2" s="349"/>
    </row>
    <row r="3" spans="1:11" x14ac:dyDescent="0.2">
      <c r="A3" s="349"/>
      <c r="B3" s="305"/>
      <c r="C3" s="305"/>
      <c r="D3" s="305"/>
      <c r="E3" s="305"/>
      <c r="F3" s="349"/>
      <c r="G3" s="349"/>
      <c r="H3" s="305"/>
      <c r="I3" s="306"/>
      <c r="J3" s="349"/>
    </row>
    <row r="4" spans="1:11" x14ac:dyDescent="0.2">
      <c r="A4" s="380"/>
      <c r="B4" s="305"/>
      <c r="C4" s="305"/>
      <c r="D4" s="349"/>
      <c r="E4" s="19" t="s">
        <v>250</v>
      </c>
      <c r="F4" s="19" t="s">
        <v>251</v>
      </c>
      <c r="G4" s="19" t="s">
        <v>68</v>
      </c>
      <c r="H4" s="19" t="s">
        <v>432</v>
      </c>
      <c r="I4" s="19" t="s">
        <v>338</v>
      </c>
      <c r="J4" s="19" t="s">
        <v>370</v>
      </c>
    </row>
    <row r="5" spans="1:11" ht="15" x14ac:dyDescent="0.35">
      <c r="A5" s="349"/>
      <c r="B5" s="305"/>
      <c r="C5" s="305"/>
      <c r="D5" s="349"/>
      <c r="E5" s="419" t="s">
        <v>2163</v>
      </c>
      <c r="F5" s="419" t="s">
        <v>2290</v>
      </c>
      <c r="G5" s="419" t="s">
        <v>2507</v>
      </c>
      <c r="H5" s="419" t="s">
        <v>2507</v>
      </c>
      <c r="I5" s="419" t="s">
        <v>2507</v>
      </c>
      <c r="J5" s="419" t="s">
        <v>2507</v>
      </c>
    </row>
    <row r="6" spans="1:11" ht="15" x14ac:dyDescent="0.25">
      <c r="A6" s="307" t="s">
        <v>434</v>
      </c>
      <c r="B6" s="308"/>
      <c r="C6" s="309"/>
      <c r="D6" s="309"/>
      <c r="E6" s="309">
        <v>293601</v>
      </c>
      <c r="F6" s="305">
        <v>320640</v>
      </c>
      <c r="G6" s="305">
        <f>D14</f>
        <v>284935.56000000006</v>
      </c>
      <c r="H6" s="230">
        <v>284936</v>
      </c>
      <c r="I6" s="230">
        <v>284936</v>
      </c>
      <c r="J6" s="230"/>
      <c r="K6" s="3"/>
    </row>
    <row r="7" spans="1:11" x14ac:dyDescent="0.2">
      <c r="A7" s="310" t="s">
        <v>2173</v>
      </c>
      <c r="B7" s="305">
        <v>52</v>
      </c>
      <c r="C7" s="309">
        <f>39.9*40*1.05</f>
        <v>1675.8000000000002</v>
      </c>
      <c r="D7" s="309">
        <f t="shared" ref="D7:D12" si="0">B7*C7</f>
        <v>87141.6</v>
      </c>
      <c r="E7" s="376"/>
      <c r="F7" s="309"/>
      <c r="G7" s="309"/>
      <c r="H7" s="453"/>
      <c r="I7" s="557"/>
      <c r="J7" s="557"/>
      <c r="K7" s="3"/>
    </row>
    <row r="8" spans="1:11" x14ac:dyDescent="0.2">
      <c r="A8" s="310" t="s">
        <v>2513</v>
      </c>
      <c r="B8" s="305">
        <v>52</v>
      </c>
      <c r="C8" s="309">
        <f>23.73*40*1.05</f>
        <v>996.66000000000008</v>
      </c>
      <c r="D8" s="309">
        <f t="shared" si="0"/>
        <v>51826.320000000007</v>
      </c>
      <c r="E8" s="376"/>
      <c r="F8" s="309"/>
      <c r="G8" s="309"/>
      <c r="H8" s="453"/>
      <c r="I8" s="557"/>
      <c r="J8" s="557"/>
      <c r="K8" s="3"/>
    </row>
    <row r="9" spans="1:11" x14ac:dyDescent="0.2">
      <c r="A9" s="456" t="s">
        <v>2174</v>
      </c>
      <c r="B9" s="457">
        <v>52</v>
      </c>
      <c r="C9" s="458">
        <f>22.3*40*1.05</f>
        <v>936.6</v>
      </c>
      <c r="D9" s="458">
        <v>0</v>
      </c>
      <c r="E9" s="459"/>
      <c r="F9" s="460"/>
      <c r="G9" s="460" t="s">
        <v>418</v>
      </c>
      <c r="H9" s="453" t="s">
        <v>418</v>
      </c>
      <c r="I9" s="557" t="s">
        <v>418</v>
      </c>
      <c r="J9" s="557"/>
      <c r="K9" s="3"/>
    </row>
    <row r="10" spans="1:11" x14ac:dyDescent="0.2">
      <c r="A10" s="312" t="s">
        <v>2155</v>
      </c>
      <c r="B10" s="305">
        <v>52</v>
      </c>
      <c r="C10" s="309">
        <f>21.88*40*1.05</f>
        <v>918.95999999999992</v>
      </c>
      <c r="D10" s="309">
        <f>B10*C10</f>
        <v>47785.919999999998</v>
      </c>
      <c r="E10" s="376"/>
      <c r="F10" s="370"/>
      <c r="G10" s="370"/>
      <c r="H10" s="453"/>
      <c r="I10" s="557"/>
      <c r="J10" s="557"/>
      <c r="K10" s="3"/>
    </row>
    <row r="11" spans="1:11" x14ac:dyDescent="0.2">
      <c r="A11" s="310" t="s">
        <v>2175</v>
      </c>
      <c r="B11" s="305">
        <v>52</v>
      </c>
      <c r="C11" s="309">
        <f>23.6*40*1.05</f>
        <v>991.2</v>
      </c>
      <c r="D11" s="309">
        <f t="shared" si="0"/>
        <v>51542.400000000001</v>
      </c>
      <c r="E11" s="376"/>
      <c r="F11" s="370"/>
      <c r="G11" s="370"/>
      <c r="H11" s="453"/>
      <c r="I11" s="557"/>
      <c r="J11" s="557"/>
      <c r="K11" s="3"/>
    </row>
    <row r="12" spans="1:11" x14ac:dyDescent="0.2">
      <c r="A12" s="310" t="s">
        <v>2512</v>
      </c>
      <c r="B12" s="305">
        <v>52</v>
      </c>
      <c r="C12" s="309">
        <f>20.63*40*1.05</f>
        <v>866.45999999999992</v>
      </c>
      <c r="D12" s="309">
        <f t="shared" si="0"/>
        <v>45055.92</v>
      </c>
      <c r="E12" s="376"/>
      <c r="F12" s="370"/>
      <c r="G12" s="370"/>
      <c r="H12" s="453"/>
      <c r="I12" s="557"/>
      <c r="J12" s="557"/>
      <c r="K12" s="3"/>
    </row>
    <row r="13" spans="1:11" ht="15" x14ac:dyDescent="0.35">
      <c r="A13" s="310" t="s">
        <v>1039</v>
      </c>
      <c r="B13" s="309"/>
      <c r="C13" s="309"/>
      <c r="D13" s="313">
        <f>1508*1.05</f>
        <v>1583.4</v>
      </c>
      <c r="E13" s="309"/>
      <c r="F13" s="309"/>
      <c r="G13" s="309"/>
      <c r="H13" s="453"/>
      <c r="I13" s="557"/>
      <c r="J13" s="557"/>
      <c r="K13" s="3"/>
    </row>
    <row r="14" spans="1:11" x14ac:dyDescent="0.2">
      <c r="A14" s="310" t="s">
        <v>1320</v>
      </c>
      <c r="B14" s="309"/>
      <c r="C14" s="305"/>
      <c r="D14" s="309">
        <f>SUM(D7:D13)</f>
        <v>284935.56000000006</v>
      </c>
      <c r="E14" s="309"/>
      <c r="F14" s="309"/>
      <c r="G14" s="309"/>
      <c r="H14" s="453"/>
      <c r="I14" s="557"/>
      <c r="J14" s="557"/>
      <c r="K14" s="3"/>
    </row>
    <row r="15" spans="1:11" x14ac:dyDescent="0.2">
      <c r="A15" s="310"/>
      <c r="B15" s="309"/>
      <c r="C15" s="309"/>
      <c r="D15" s="309"/>
      <c r="E15" s="309"/>
      <c r="F15" s="310"/>
      <c r="G15" s="310"/>
      <c r="H15" s="453"/>
      <c r="I15" s="557"/>
      <c r="J15" s="557"/>
      <c r="K15" s="3"/>
    </row>
    <row r="16" spans="1:11" ht="13.5" x14ac:dyDescent="0.25">
      <c r="A16" s="307" t="s">
        <v>1109</v>
      </c>
      <c r="B16" s="309"/>
      <c r="C16" s="309"/>
      <c r="D16" s="309"/>
      <c r="E16" s="309">
        <v>226817</v>
      </c>
      <c r="F16" s="309">
        <v>250994</v>
      </c>
      <c r="G16" s="309">
        <f>D39</f>
        <v>298917.73879999999</v>
      </c>
      <c r="H16" s="230">
        <v>298918</v>
      </c>
      <c r="I16" s="230">
        <v>298918</v>
      </c>
      <c r="J16" s="230"/>
      <c r="K16" s="3"/>
    </row>
    <row r="17" spans="1:11" x14ac:dyDescent="0.2">
      <c r="A17" s="310" t="s">
        <v>1110</v>
      </c>
      <c r="B17" s="309" t="s">
        <v>418</v>
      </c>
      <c r="C17" s="309" t="s">
        <v>418</v>
      </c>
      <c r="D17" s="309"/>
      <c r="E17" s="376"/>
      <c r="F17" s="309"/>
      <c r="G17" s="309"/>
      <c r="H17" s="230"/>
      <c r="I17" s="230"/>
      <c r="J17" s="230"/>
      <c r="K17" s="3"/>
    </row>
    <row r="18" spans="1:11" x14ac:dyDescent="0.2">
      <c r="A18" s="370" t="s">
        <v>2545</v>
      </c>
      <c r="B18" s="305">
        <v>52</v>
      </c>
      <c r="C18" s="305">
        <f>17.03*40*1.05</f>
        <v>715.2600000000001</v>
      </c>
      <c r="D18" s="346">
        <f>B18*C18</f>
        <v>37193.520000000004</v>
      </c>
      <c r="E18" s="453"/>
      <c r="F18" s="309"/>
      <c r="G18" s="309"/>
      <c r="H18" s="230"/>
      <c r="I18" s="230"/>
      <c r="J18" s="230"/>
      <c r="K18" s="3"/>
    </row>
    <row r="19" spans="1:11" x14ac:dyDescent="0.2">
      <c r="A19" s="370" t="s">
        <v>2546</v>
      </c>
      <c r="B19" s="305">
        <v>52</v>
      </c>
      <c r="C19" s="305">
        <f t="shared" ref="C19:C20" si="1">16.53*40*1.05</f>
        <v>694.2600000000001</v>
      </c>
      <c r="D19" s="346">
        <f t="shared" ref="D19:D22" si="2">B19*C19</f>
        <v>36101.520000000004</v>
      </c>
      <c r="E19" s="453"/>
      <c r="F19" s="309"/>
      <c r="G19" s="309"/>
      <c r="H19" s="230"/>
      <c r="I19" s="230"/>
      <c r="J19" s="230"/>
      <c r="K19" s="3"/>
    </row>
    <row r="20" spans="1:11" x14ac:dyDescent="0.2">
      <c r="A20" s="461" t="s">
        <v>2547</v>
      </c>
      <c r="B20" s="514">
        <v>52</v>
      </c>
      <c r="C20" s="514">
        <f t="shared" si="1"/>
        <v>694.2600000000001</v>
      </c>
      <c r="D20" s="515">
        <f t="shared" si="2"/>
        <v>36101.520000000004</v>
      </c>
      <c r="E20" s="453"/>
      <c r="F20" s="309"/>
      <c r="G20" s="309"/>
      <c r="H20" s="230"/>
      <c r="I20" s="230"/>
      <c r="J20" s="230"/>
      <c r="K20" s="3"/>
    </row>
    <row r="21" spans="1:11" x14ac:dyDescent="0.2">
      <c r="A21" s="370" t="s">
        <v>2176</v>
      </c>
      <c r="B21" s="305">
        <v>52</v>
      </c>
      <c r="C21" s="305">
        <f>16.53*40*1.05</f>
        <v>694.2600000000001</v>
      </c>
      <c r="D21" s="346">
        <f t="shared" si="2"/>
        <v>36101.520000000004</v>
      </c>
      <c r="E21" s="453"/>
      <c r="F21" s="309"/>
      <c r="G21" s="309"/>
      <c r="H21" s="230"/>
      <c r="I21" s="230"/>
      <c r="J21" s="230"/>
      <c r="K21" s="3"/>
    </row>
    <row r="22" spans="1:11" x14ac:dyDescent="0.2">
      <c r="A22" s="370" t="s">
        <v>2156</v>
      </c>
      <c r="B22" s="305">
        <v>52</v>
      </c>
      <c r="C22" s="305">
        <f>17.03*40*1.05</f>
        <v>715.2600000000001</v>
      </c>
      <c r="D22" s="346">
        <f t="shared" si="2"/>
        <v>37193.520000000004</v>
      </c>
      <c r="E22" s="453"/>
      <c r="F22" s="309"/>
      <c r="G22" s="309"/>
      <c r="H22" s="230"/>
      <c r="I22" s="230"/>
      <c r="J22" s="230"/>
      <c r="K22" s="3"/>
    </row>
    <row r="23" spans="1:11" x14ac:dyDescent="0.2">
      <c r="A23" s="370" t="s">
        <v>1039</v>
      </c>
      <c r="B23" s="370"/>
      <c r="C23" s="370"/>
      <c r="D23" s="346">
        <v>500</v>
      </c>
      <c r="E23" s="453"/>
      <c r="F23" s="309"/>
      <c r="G23" s="309"/>
      <c r="H23" s="230"/>
      <c r="I23" s="230"/>
      <c r="J23" s="230"/>
      <c r="K23" s="3"/>
    </row>
    <row r="24" spans="1:11" x14ac:dyDescent="0.2">
      <c r="A24" s="370" t="s">
        <v>1478</v>
      </c>
      <c r="B24" s="370" t="s">
        <v>418</v>
      </c>
      <c r="C24" s="309"/>
      <c r="D24" s="376"/>
      <c r="E24" s="453"/>
      <c r="F24" s="309"/>
      <c r="G24" s="309"/>
      <c r="H24" s="230"/>
      <c r="I24" s="230"/>
      <c r="J24" s="230"/>
      <c r="K24" s="3"/>
    </row>
    <row r="25" spans="1:11" x14ac:dyDescent="0.2">
      <c r="A25" s="370" t="s">
        <v>2177</v>
      </c>
      <c r="B25" s="370">
        <v>1040</v>
      </c>
      <c r="C25" s="378">
        <f>12*1.06+2</f>
        <v>14.72</v>
      </c>
      <c r="D25" s="377">
        <f t="shared" ref="D25:D37" si="3">B25*C25</f>
        <v>15308.800000000001</v>
      </c>
      <c r="E25" s="453"/>
      <c r="F25" s="314"/>
      <c r="G25" s="314"/>
      <c r="H25" s="230"/>
      <c r="I25" s="230"/>
      <c r="J25" s="230"/>
      <c r="K25" s="3"/>
    </row>
    <row r="26" spans="1:11" x14ac:dyDescent="0.2">
      <c r="A26" s="370" t="s">
        <v>2178</v>
      </c>
      <c r="B26" s="370">
        <v>1040</v>
      </c>
      <c r="C26" s="378">
        <f>12*1.06+2</f>
        <v>14.72</v>
      </c>
      <c r="D26" s="377">
        <f t="shared" si="3"/>
        <v>15308.800000000001</v>
      </c>
      <c r="E26" s="453"/>
      <c r="F26" s="314"/>
      <c r="G26" s="314"/>
      <c r="H26" s="230"/>
      <c r="I26" s="230"/>
      <c r="J26" s="230"/>
      <c r="K26" s="3"/>
    </row>
    <row r="27" spans="1:11" x14ac:dyDescent="0.2">
      <c r="A27" s="370" t="s">
        <v>1781</v>
      </c>
      <c r="B27" s="370">
        <v>200</v>
      </c>
      <c r="C27" s="378">
        <f>12*1+2</f>
        <v>14</v>
      </c>
      <c r="D27" s="377">
        <f t="shared" si="3"/>
        <v>2800</v>
      </c>
      <c r="E27" s="453"/>
      <c r="F27" s="314"/>
      <c r="G27" s="314"/>
      <c r="H27" s="230"/>
      <c r="I27" s="230"/>
      <c r="J27" s="230"/>
      <c r="K27" s="3"/>
    </row>
    <row r="28" spans="1:11" x14ac:dyDescent="0.2">
      <c r="A28" s="462" t="s">
        <v>2284</v>
      </c>
      <c r="B28" s="370">
        <v>1040</v>
      </c>
      <c r="C28" s="378">
        <f>12*1.06+2</f>
        <v>14.72</v>
      </c>
      <c r="D28" s="377">
        <v>0</v>
      </c>
      <c r="E28" s="453"/>
      <c r="F28" s="314"/>
      <c r="G28" s="314"/>
      <c r="H28" s="230"/>
      <c r="I28" s="230"/>
      <c r="J28" s="230"/>
      <c r="K28" s="3"/>
    </row>
    <row r="29" spans="1:11" x14ac:dyDescent="0.2">
      <c r="A29" s="370" t="s">
        <v>2285</v>
      </c>
      <c r="B29" s="370">
        <v>1092</v>
      </c>
      <c r="C29" s="378">
        <f>12*1.06+2</f>
        <v>14.72</v>
      </c>
      <c r="D29" s="377">
        <f t="shared" si="3"/>
        <v>16074.240000000002</v>
      </c>
      <c r="E29" s="453"/>
      <c r="F29" s="314"/>
      <c r="G29" s="314"/>
      <c r="H29" s="230"/>
      <c r="I29" s="230"/>
      <c r="J29" s="230"/>
      <c r="K29" s="3"/>
    </row>
    <row r="30" spans="1:11" x14ac:dyDescent="0.2">
      <c r="A30" s="370" t="s">
        <v>2284</v>
      </c>
      <c r="B30" s="370">
        <v>468</v>
      </c>
      <c r="C30" s="378">
        <f>12+2</f>
        <v>14</v>
      </c>
      <c r="D30" s="377">
        <f t="shared" si="3"/>
        <v>6552</v>
      </c>
      <c r="E30" s="453"/>
      <c r="F30" s="314"/>
      <c r="G30" s="314"/>
      <c r="H30" s="230"/>
      <c r="I30" s="230"/>
      <c r="J30" s="230"/>
      <c r="K30" s="3"/>
    </row>
    <row r="31" spans="1:11" x14ac:dyDescent="0.2">
      <c r="A31" s="370" t="s">
        <v>2284</v>
      </c>
      <c r="B31" s="370">
        <v>780</v>
      </c>
      <c r="C31" s="378">
        <f>13.37+2</f>
        <v>15.37</v>
      </c>
      <c r="D31" s="377">
        <f t="shared" si="3"/>
        <v>11988.599999999999</v>
      </c>
      <c r="E31" s="453"/>
      <c r="F31" s="314"/>
      <c r="G31" s="314"/>
      <c r="H31" s="230"/>
      <c r="I31" s="230"/>
      <c r="J31" s="230"/>
      <c r="K31" s="3"/>
    </row>
    <row r="32" spans="1:11" x14ac:dyDescent="0.2">
      <c r="A32" s="370" t="s">
        <v>2285</v>
      </c>
      <c r="B32" s="370">
        <v>728</v>
      </c>
      <c r="C32" s="378">
        <f>14.16*1.06+2</f>
        <v>17.009599999999999</v>
      </c>
      <c r="D32" s="377">
        <f t="shared" si="3"/>
        <v>12382.988799999999</v>
      </c>
      <c r="E32" s="453"/>
      <c r="F32" s="314"/>
      <c r="G32" s="314"/>
      <c r="H32" s="230"/>
      <c r="I32" s="230"/>
      <c r="J32" s="230"/>
      <c r="K32" s="3"/>
    </row>
    <row r="33" spans="1:11" x14ac:dyDescent="0.2">
      <c r="A33" s="310" t="s">
        <v>2179</v>
      </c>
      <c r="B33" s="370">
        <v>636</v>
      </c>
      <c r="C33" s="378">
        <f>10.34+2</f>
        <v>12.34</v>
      </c>
      <c r="D33" s="377">
        <f t="shared" si="3"/>
        <v>7848.24</v>
      </c>
      <c r="E33" s="453"/>
      <c r="F33" s="314"/>
      <c r="G33" s="314"/>
      <c r="H33" s="230"/>
      <c r="I33" s="230"/>
      <c r="J33" s="230"/>
      <c r="K33" s="3"/>
    </row>
    <row r="34" spans="1:11" x14ac:dyDescent="0.2">
      <c r="A34" s="463" t="s">
        <v>2157</v>
      </c>
      <c r="B34" s="309" t="s">
        <v>418</v>
      </c>
      <c r="C34" s="443" t="s">
        <v>418</v>
      </c>
      <c r="D34" s="377">
        <v>0</v>
      </c>
      <c r="E34" s="453"/>
      <c r="F34" s="314"/>
      <c r="G34" s="314"/>
      <c r="H34" s="230"/>
      <c r="I34" s="230"/>
      <c r="J34" s="230"/>
      <c r="K34" s="3"/>
    </row>
    <row r="35" spans="1:11" x14ac:dyDescent="0.2">
      <c r="A35" s="463" t="s">
        <v>2548</v>
      </c>
      <c r="B35" s="512">
        <v>2080</v>
      </c>
      <c r="C35" s="513">
        <v>16.53</v>
      </c>
      <c r="D35" s="464">
        <v>0</v>
      </c>
      <c r="E35" s="465"/>
      <c r="F35" s="466"/>
      <c r="G35" s="466"/>
      <c r="H35" s="510"/>
      <c r="I35" s="510"/>
      <c r="J35" s="510"/>
      <c r="K35" s="3"/>
    </row>
    <row r="36" spans="1:11" s="371" customFormat="1" x14ac:dyDescent="0.2">
      <c r="A36" s="310" t="s">
        <v>2439</v>
      </c>
      <c r="B36" s="309">
        <v>1300</v>
      </c>
      <c r="C36" s="378">
        <f>15.6+2</f>
        <v>17.600000000000001</v>
      </c>
      <c r="D36" s="377">
        <f t="shared" si="3"/>
        <v>22880.000000000004</v>
      </c>
      <c r="E36" s="453"/>
      <c r="F36" s="314"/>
      <c r="G36" s="314"/>
      <c r="H36" s="230"/>
      <c r="I36" s="230"/>
      <c r="J36" s="230"/>
      <c r="K36" s="3"/>
    </row>
    <row r="37" spans="1:11" x14ac:dyDescent="0.2">
      <c r="A37" s="310" t="s">
        <v>611</v>
      </c>
      <c r="B37" s="309">
        <v>300</v>
      </c>
      <c r="C37" s="378">
        <f>SUM(C29:C32)/4</f>
        <v>15.274899999999999</v>
      </c>
      <c r="D37" s="377">
        <f t="shared" si="3"/>
        <v>4582.4699999999993</v>
      </c>
      <c r="E37" s="453"/>
      <c r="F37" s="314"/>
      <c r="G37" s="314"/>
      <c r="H37" s="230"/>
      <c r="I37" s="230"/>
      <c r="J37" s="230"/>
      <c r="K37" s="3"/>
    </row>
    <row r="38" spans="1:11" ht="15" x14ac:dyDescent="0.35">
      <c r="A38" s="310" t="s">
        <v>1825</v>
      </c>
      <c r="B38" s="370"/>
      <c r="C38" s="378">
        <v>0</v>
      </c>
      <c r="D38" s="379">
        <v>0</v>
      </c>
      <c r="E38" s="453"/>
      <c r="F38" s="314"/>
      <c r="G38" s="314"/>
      <c r="H38" s="230"/>
      <c r="I38" s="230"/>
      <c r="J38" s="230"/>
      <c r="K38" s="3"/>
    </row>
    <row r="39" spans="1:11" x14ac:dyDescent="0.2">
      <c r="A39" s="310" t="s">
        <v>1320</v>
      </c>
      <c r="B39" s="309"/>
      <c r="C39" s="309"/>
      <c r="D39" s="309">
        <f>SUM(D18:D38)</f>
        <v>298917.73879999999</v>
      </c>
      <c r="E39" s="309"/>
      <c r="F39" s="309"/>
      <c r="G39" s="309"/>
      <c r="H39" s="230"/>
      <c r="I39" s="230"/>
      <c r="J39" s="230"/>
      <c r="K39" s="3"/>
    </row>
    <row r="40" spans="1:11" x14ac:dyDescent="0.2">
      <c r="A40" s="310"/>
      <c r="B40" s="309" t="s">
        <v>418</v>
      </c>
      <c r="C40" s="309"/>
      <c r="D40" s="309"/>
      <c r="E40" s="309"/>
      <c r="F40" s="310"/>
      <c r="G40" s="310"/>
      <c r="H40" s="230"/>
      <c r="I40" s="230"/>
      <c r="J40" s="230"/>
      <c r="K40" s="3"/>
    </row>
    <row r="41" spans="1:11" ht="13.5" x14ac:dyDescent="0.25">
      <c r="A41" s="307" t="s">
        <v>612</v>
      </c>
      <c r="B41" s="310"/>
      <c r="C41" s="310"/>
      <c r="D41" s="309"/>
      <c r="E41" s="309">
        <v>41559</v>
      </c>
      <c r="F41" s="309">
        <v>43212</v>
      </c>
      <c r="G41" s="309">
        <f>D43</f>
        <v>45383.520000000004</v>
      </c>
      <c r="H41" s="230">
        <v>45384</v>
      </c>
      <c r="I41" s="230">
        <v>45384</v>
      </c>
      <c r="J41" s="230"/>
      <c r="K41" s="3"/>
    </row>
    <row r="42" spans="1:11" ht="15" x14ac:dyDescent="0.35">
      <c r="A42" s="310" t="s">
        <v>2070</v>
      </c>
      <c r="B42" s="305">
        <v>52</v>
      </c>
      <c r="C42" s="309">
        <f>20.78*40*1.05</f>
        <v>872.7600000000001</v>
      </c>
      <c r="D42" s="313">
        <f>+C42*B42</f>
        <v>45383.520000000004</v>
      </c>
      <c r="E42" s="309"/>
      <c r="F42" s="309"/>
      <c r="G42" s="309"/>
      <c r="H42" s="230"/>
      <c r="I42" s="230"/>
      <c r="J42" s="230"/>
      <c r="K42" s="3"/>
    </row>
    <row r="43" spans="1:11" x14ac:dyDescent="0.2">
      <c r="A43" s="310" t="s">
        <v>1320</v>
      </c>
      <c r="B43" s="309"/>
      <c r="C43" s="309"/>
      <c r="D43" s="309">
        <f>SUM(D42:D42)</f>
        <v>45383.520000000004</v>
      </c>
      <c r="E43" s="309"/>
      <c r="F43" s="309"/>
      <c r="G43" s="309"/>
      <c r="H43" s="230"/>
      <c r="I43" s="230"/>
      <c r="J43" s="230"/>
      <c r="K43" s="3"/>
    </row>
    <row r="44" spans="1:11" x14ac:dyDescent="0.2">
      <c r="A44" s="310"/>
      <c r="B44" s="309"/>
      <c r="C44" s="315"/>
      <c r="D44" s="309"/>
      <c r="E44" s="309"/>
      <c r="F44" s="309"/>
      <c r="G44" s="309"/>
      <c r="H44" s="230"/>
      <c r="I44" s="230"/>
      <c r="J44" s="230"/>
      <c r="K44" s="3"/>
    </row>
    <row r="45" spans="1:11" ht="13.5" x14ac:dyDescent="0.25">
      <c r="A45" s="316" t="s">
        <v>2501</v>
      </c>
      <c r="B45" s="370"/>
      <c r="C45" s="370"/>
      <c r="D45" s="305"/>
      <c r="E45" s="305">
        <v>0</v>
      </c>
      <c r="F45" s="305">
        <v>100</v>
      </c>
      <c r="G45" s="305">
        <f>+D46</f>
        <v>100</v>
      </c>
      <c r="H45" s="230">
        <v>100</v>
      </c>
      <c r="I45" s="230">
        <v>100</v>
      </c>
      <c r="J45" s="230"/>
      <c r="K45" s="3"/>
    </row>
    <row r="46" spans="1:11" x14ac:dyDescent="0.2">
      <c r="A46" s="310" t="s">
        <v>343</v>
      </c>
      <c r="B46" s="309"/>
      <c r="C46" s="315"/>
      <c r="D46" s="309">
        <v>100</v>
      </c>
      <c r="E46" s="309"/>
      <c r="F46" s="309"/>
      <c r="G46" s="309"/>
      <c r="H46" s="230"/>
      <c r="I46" s="230"/>
      <c r="J46" s="230"/>
      <c r="K46" s="3"/>
    </row>
    <row r="47" spans="1:11" x14ac:dyDescent="0.2">
      <c r="A47" s="310"/>
      <c r="B47" s="309"/>
      <c r="C47" s="315"/>
      <c r="D47" s="309"/>
      <c r="E47" s="309"/>
      <c r="F47" s="309"/>
      <c r="G47" s="309"/>
      <c r="H47" s="230"/>
      <c r="I47" s="230"/>
      <c r="J47" s="230"/>
      <c r="K47" s="3"/>
    </row>
    <row r="48" spans="1:11" ht="13.5" x14ac:dyDescent="0.25">
      <c r="A48" s="307" t="s">
        <v>1368</v>
      </c>
      <c r="B48" s="310"/>
      <c r="C48" s="310"/>
      <c r="D48" s="309"/>
      <c r="E48" s="309">
        <v>44275</v>
      </c>
      <c r="F48" s="309">
        <v>47036</v>
      </c>
      <c r="G48" s="309">
        <f>+D52</f>
        <v>48137</v>
      </c>
      <c r="H48" s="230">
        <v>48137</v>
      </c>
      <c r="I48" s="230">
        <v>48137</v>
      </c>
      <c r="J48" s="230"/>
      <c r="K48" s="3"/>
    </row>
    <row r="49" spans="1:11" hidden="1" x14ac:dyDescent="0.2">
      <c r="A49" s="317">
        <v>8103</v>
      </c>
      <c r="B49" s="309">
        <f>+G6</f>
        <v>284935.56000000006</v>
      </c>
      <c r="C49" s="310">
        <v>7.6499999999999999E-2</v>
      </c>
      <c r="D49" s="3">
        <f>ROUND(B49*C49,0)</f>
        <v>21798</v>
      </c>
      <c r="E49" s="309"/>
      <c r="F49" s="309"/>
      <c r="G49" s="309"/>
      <c r="H49" s="230"/>
      <c r="I49" s="230"/>
      <c r="J49" s="230"/>
      <c r="K49" s="3"/>
    </row>
    <row r="50" spans="1:11" hidden="1" x14ac:dyDescent="0.2">
      <c r="A50" s="318" t="s">
        <v>883</v>
      </c>
      <c r="B50" s="309">
        <f>+G16</f>
        <v>298917.73879999999</v>
      </c>
      <c r="C50" s="310">
        <v>7.6499999999999999E-2</v>
      </c>
      <c r="D50" s="3">
        <f>ROUND(B50*C50,0)</f>
        <v>22867</v>
      </c>
      <c r="E50" s="309"/>
      <c r="F50" s="309"/>
      <c r="G50" s="309"/>
      <c r="H50" s="230"/>
      <c r="I50" s="230"/>
      <c r="J50" s="230"/>
      <c r="K50" s="3"/>
    </row>
    <row r="51" spans="1:11" ht="15" hidden="1" x14ac:dyDescent="0.35">
      <c r="A51" s="318" t="s">
        <v>196</v>
      </c>
      <c r="B51" s="309">
        <f>+G41</f>
        <v>45383.520000000004</v>
      </c>
      <c r="C51" s="310">
        <v>7.6499999999999999E-2</v>
      </c>
      <c r="D51" s="14">
        <f>ROUND(B51*C51,0)</f>
        <v>3472</v>
      </c>
      <c r="E51" s="309"/>
      <c r="F51" s="309"/>
      <c r="G51" s="309"/>
      <c r="H51" s="230"/>
      <c r="I51" s="230"/>
      <c r="J51" s="230"/>
      <c r="K51" s="3"/>
    </row>
    <row r="52" spans="1:11" hidden="1" x14ac:dyDescent="0.2">
      <c r="A52" s="310" t="s">
        <v>1320</v>
      </c>
      <c r="B52" s="310"/>
      <c r="C52" s="310"/>
      <c r="D52" s="309">
        <f>SUM(D49:D51)</f>
        <v>48137</v>
      </c>
      <c r="E52" s="309"/>
      <c r="F52" s="309"/>
      <c r="G52" s="309"/>
      <c r="H52" s="230"/>
      <c r="I52" s="230"/>
      <c r="J52" s="230"/>
      <c r="K52" s="3"/>
    </row>
    <row r="53" spans="1:11" x14ac:dyDescent="0.2">
      <c r="A53" s="310"/>
      <c r="B53" s="310"/>
      <c r="C53" s="310"/>
      <c r="D53" s="309"/>
      <c r="E53" s="309"/>
      <c r="F53" s="309"/>
      <c r="G53" s="309"/>
      <c r="H53" s="230"/>
      <c r="I53" s="230"/>
      <c r="J53" s="230"/>
      <c r="K53" s="3"/>
    </row>
    <row r="54" spans="1:11" ht="13.5" x14ac:dyDescent="0.25">
      <c r="A54" s="307" t="s">
        <v>1369</v>
      </c>
      <c r="B54" s="310"/>
      <c r="C54" s="310"/>
      <c r="D54" s="309"/>
      <c r="E54" s="309">
        <v>62006</v>
      </c>
      <c r="F54" s="309">
        <v>65948</v>
      </c>
      <c r="G54" s="309">
        <f>D58</f>
        <v>69477.995004000011</v>
      </c>
      <c r="H54" s="230">
        <v>69478</v>
      </c>
      <c r="I54" s="230">
        <v>69478</v>
      </c>
      <c r="J54" s="230"/>
      <c r="K54" s="3"/>
    </row>
    <row r="55" spans="1:11" hidden="1" x14ac:dyDescent="0.2">
      <c r="A55" s="317">
        <v>8103</v>
      </c>
      <c r="B55" s="309">
        <f>+G6</f>
        <v>284935.56000000006</v>
      </c>
      <c r="C55" s="507">
        <v>0.1353</v>
      </c>
      <c r="D55" s="309">
        <f>+C55*B55</f>
        <v>38551.781268000006</v>
      </c>
      <c r="E55" s="309"/>
      <c r="F55" s="309"/>
      <c r="G55" s="309"/>
      <c r="H55" s="230"/>
      <c r="I55" s="230"/>
      <c r="J55" s="230"/>
      <c r="K55" s="3"/>
    </row>
    <row r="56" spans="1:11" hidden="1" x14ac:dyDescent="0.2">
      <c r="A56" s="310" t="s">
        <v>300</v>
      </c>
      <c r="B56" s="309">
        <f>SUM(D18:D23)</f>
        <v>183191.60000000003</v>
      </c>
      <c r="C56" s="507">
        <v>0.1353</v>
      </c>
      <c r="D56" s="309">
        <f>+C56*B56</f>
        <v>24785.823480000006</v>
      </c>
      <c r="E56" s="309"/>
      <c r="F56" s="309"/>
      <c r="G56" s="309"/>
      <c r="H56" s="230"/>
      <c r="I56" s="230"/>
      <c r="J56" s="230"/>
      <c r="K56" s="3"/>
    </row>
    <row r="57" spans="1:11" ht="15" hidden="1" x14ac:dyDescent="0.35">
      <c r="A57" s="310" t="s">
        <v>301</v>
      </c>
      <c r="B57" s="309">
        <f>+G41</f>
        <v>45383.520000000004</v>
      </c>
      <c r="C57" s="507">
        <v>0.1353</v>
      </c>
      <c r="D57" s="313">
        <f>+C57*B57</f>
        <v>6140.3902560000006</v>
      </c>
      <c r="E57" s="309"/>
      <c r="F57" s="309"/>
      <c r="G57" s="309"/>
      <c r="H57" s="230"/>
      <c r="I57" s="230"/>
      <c r="J57" s="230"/>
      <c r="K57" s="3"/>
    </row>
    <row r="58" spans="1:11" hidden="1" x14ac:dyDescent="0.2">
      <c r="A58" s="310" t="s">
        <v>1320</v>
      </c>
      <c r="B58" s="310"/>
      <c r="C58" s="310"/>
      <c r="D58" s="309">
        <f>SUM(D55:D57)</f>
        <v>69477.995004000011</v>
      </c>
      <c r="E58" s="309"/>
      <c r="F58" s="309"/>
      <c r="G58" s="309"/>
      <c r="H58" s="230"/>
      <c r="I58" s="230"/>
      <c r="J58" s="230"/>
      <c r="K58" s="3"/>
    </row>
    <row r="59" spans="1:11" x14ac:dyDescent="0.2">
      <c r="A59" s="310"/>
      <c r="B59" s="310"/>
      <c r="C59" s="310"/>
      <c r="D59" s="309"/>
      <c r="E59" s="309"/>
      <c r="F59" s="309"/>
      <c r="G59" s="309"/>
      <c r="H59" s="230"/>
      <c r="I59" s="230"/>
      <c r="J59" s="230"/>
      <c r="K59" s="3"/>
    </row>
    <row r="60" spans="1:11" ht="13.5" x14ac:dyDescent="0.25">
      <c r="A60" s="307" t="s">
        <v>1171</v>
      </c>
      <c r="B60" s="310"/>
      <c r="C60" s="310"/>
      <c r="D60" s="309"/>
      <c r="E60" s="309">
        <v>110032</v>
      </c>
      <c r="F60" s="309">
        <v>125000</v>
      </c>
      <c r="G60" s="309">
        <f>D61</f>
        <v>154000</v>
      </c>
      <c r="H60" s="230">
        <v>154000</v>
      </c>
      <c r="I60" s="230">
        <v>154000</v>
      </c>
      <c r="J60" s="230"/>
      <c r="K60" s="3"/>
    </row>
    <row r="61" spans="1:11" x14ac:dyDescent="0.2">
      <c r="A61" s="310" t="s">
        <v>440</v>
      </c>
      <c r="B61" s="309">
        <v>11</v>
      </c>
      <c r="C61" s="309">
        <v>14000</v>
      </c>
      <c r="D61" s="309">
        <f>+C61*B61</f>
        <v>154000</v>
      </c>
      <c r="E61" s="309"/>
      <c r="F61" s="309"/>
      <c r="G61" s="309"/>
      <c r="H61" s="230"/>
      <c r="I61" s="230"/>
      <c r="J61" s="230"/>
      <c r="K61" s="3"/>
    </row>
    <row r="62" spans="1:11" x14ac:dyDescent="0.2">
      <c r="A62" s="310"/>
      <c r="B62" s="310"/>
      <c r="C62" s="310"/>
      <c r="D62" s="309"/>
      <c r="E62" s="309"/>
      <c r="F62" s="309"/>
      <c r="G62" s="309"/>
      <c r="H62" s="230"/>
      <c r="I62" s="230"/>
      <c r="J62" s="230"/>
      <c r="K62" s="3"/>
    </row>
    <row r="63" spans="1:11" ht="13.5" x14ac:dyDescent="0.25">
      <c r="A63" s="307" t="s">
        <v>1172</v>
      </c>
      <c r="B63" s="310"/>
      <c r="C63" s="310"/>
      <c r="D63" s="309"/>
      <c r="E63" s="309">
        <v>6100</v>
      </c>
      <c r="F63" s="309">
        <v>8640</v>
      </c>
      <c r="G63" s="309">
        <f>D66</f>
        <v>9504</v>
      </c>
      <c r="H63" s="230">
        <v>9504</v>
      </c>
      <c r="I63" s="230">
        <v>9504</v>
      </c>
      <c r="J63" s="230"/>
      <c r="K63" s="3"/>
    </row>
    <row r="64" spans="1:11" x14ac:dyDescent="0.2">
      <c r="A64" s="310" t="s">
        <v>440</v>
      </c>
      <c r="B64" s="309">
        <v>11</v>
      </c>
      <c r="C64" s="309">
        <v>960</v>
      </c>
      <c r="D64" s="309">
        <f>+C64*B64</f>
        <v>10560</v>
      </c>
      <c r="E64" s="309"/>
      <c r="F64" s="309"/>
      <c r="G64" s="309"/>
      <c r="H64" s="230"/>
      <c r="I64" s="230"/>
      <c r="J64" s="230"/>
      <c r="K64" s="3"/>
    </row>
    <row r="65" spans="1:11" ht="15" x14ac:dyDescent="0.35">
      <c r="A65" s="310" t="s">
        <v>243</v>
      </c>
      <c r="B65" s="309"/>
      <c r="C65" s="309"/>
      <c r="D65" s="313">
        <f>+C64*-0.1*B64</f>
        <v>-1056</v>
      </c>
      <c r="E65" s="309"/>
      <c r="F65" s="309"/>
      <c r="G65" s="309"/>
      <c r="H65" s="230"/>
      <c r="I65" s="230"/>
      <c r="J65" s="230"/>
      <c r="K65" s="3"/>
    </row>
    <row r="66" spans="1:11" ht="12.75" customHeight="1" x14ac:dyDescent="0.2">
      <c r="A66" s="310" t="s">
        <v>877</v>
      </c>
      <c r="B66" s="309"/>
      <c r="C66" s="309"/>
      <c r="D66" s="309">
        <f>SUM(D64:D65)</f>
        <v>9504</v>
      </c>
      <c r="E66" s="309"/>
      <c r="F66" s="309"/>
      <c r="G66" s="309"/>
      <c r="H66" s="230"/>
      <c r="I66" s="230"/>
      <c r="J66" s="230"/>
      <c r="K66" s="3"/>
    </row>
    <row r="67" spans="1:11" ht="12.75" customHeight="1" x14ac:dyDescent="0.2">
      <c r="A67" s="310"/>
      <c r="B67" s="310"/>
      <c r="C67" s="310"/>
      <c r="D67" s="309"/>
      <c r="E67" s="309"/>
      <c r="F67" s="309"/>
      <c r="G67" s="309"/>
      <c r="H67" s="230"/>
      <c r="I67" s="230"/>
      <c r="J67" s="230"/>
      <c r="K67" s="3"/>
    </row>
    <row r="68" spans="1:11" ht="15" customHeight="1" x14ac:dyDescent="0.25">
      <c r="A68" s="307" t="s">
        <v>1525</v>
      </c>
      <c r="B68" s="310"/>
      <c r="C68" s="310"/>
      <c r="D68" s="309"/>
      <c r="E68" s="309">
        <v>969</v>
      </c>
      <c r="F68" s="309">
        <v>1350</v>
      </c>
      <c r="G68" s="309">
        <f>D72</f>
        <v>1595</v>
      </c>
      <c r="H68" s="230">
        <v>1595</v>
      </c>
      <c r="I68" s="230">
        <v>1595</v>
      </c>
      <c r="J68" s="230"/>
      <c r="K68" s="3"/>
    </row>
    <row r="69" spans="1:11" ht="12.75" hidden="1" customHeight="1" x14ac:dyDescent="0.2">
      <c r="A69" s="310" t="s">
        <v>435</v>
      </c>
      <c r="B69" s="309">
        <v>1</v>
      </c>
      <c r="C69" s="309">
        <v>145</v>
      </c>
      <c r="D69" s="309">
        <f>+C69*B69</f>
        <v>145</v>
      </c>
      <c r="E69" s="309"/>
      <c r="F69" s="310"/>
      <c r="G69" s="310"/>
      <c r="H69" s="230"/>
      <c r="I69" s="230"/>
      <c r="J69" s="230"/>
      <c r="K69" s="3"/>
    </row>
    <row r="70" spans="1:11" hidden="1" x14ac:dyDescent="0.2">
      <c r="A70" s="310" t="s">
        <v>1526</v>
      </c>
      <c r="B70" s="309">
        <v>5</v>
      </c>
      <c r="C70" s="309">
        <v>145</v>
      </c>
      <c r="D70" s="309">
        <f>+C70*B70</f>
        <v>725</v>
      </c>
      <c r="E70" s="309"/>
      <c r="F70" s="310"/>
      <c r="G70" s="310"/>
      <c r="H70" s="230"/>
      <c r="I70" s="230"/>
      <c r="J70" s="230"/>
      <c r="K70" s="3"/>
    </row>
    <row r="71" spans="1:11" ht="15" hidden="1" x14ac:dyDescent="0.35">
      <c r="A71" s="310" t="s">
        <v>1134</v>
      </c>
      <c r="B71" s="309">
        <v>5</v>
      </c>
      <c r="C71" s="309">
        <v>145</v>
      </c>
      <c r="D71" s="313">
        <f>+C71*B71</f>
        <v>725</v>
      </c>
      <c r="E71" s="309"/>
      <c r="F71" s="310"/>
      <c r="G71" s="310"/>
      <c r="H71" s="230"/>
      <c r="I71" s="230"/>
      <c r="J71" s="230"/>
      <c r="K71" s="3"/>
    </row>
    <row r="72" spans="1:11" hidden="1" x14ac:dyDescent="0.2">
      <c r="A72" s="310" t="s">
        <v>1320</v>
      </c>
      <c r="B72" s="310"/>
      <c r="C72" s="310"/>
      <c r="D72" s="309">
        <f>SUM(D69:D71)</f>
        <v>1595</v>
      </c>
      <c r="E72" s="309"/>
      <c r="F72" s="310"/>
      <c r="G72" s="310"/>
      <c r="H72" s="230"/>
      <c r="I72" s="230"/>
      <c r="J72" s="230"/>
      <c r="K72" s="3"/>
    </row>
    <row r="73" spans="1:11" x14ac:dyDescent="0.2">
      <c r="A73" s="310"/>
      <c r="B73" s="310"/>
      <c r="C73" s="310"/>
      <c r="D73" s="309"/>
      <c r="E73" s="309"/>
      <c r="F73" s="310"/>
      <c r="G73" s="310"/>
      <c r="H73" s="230"/>
      <c r="I73" s="230"/>
      <c r="J73" s="230"/>
      <c r="K73" s="3"/>
    </row>
    <row r="74" spans="1:11" ht="13.5" x14ac:dyDescent="0.25">
      <c r="A74" s="307" t="s">
        <v>496</v>
      </c>
      <c r="B74" s="310"/>
      <c r="C74" s="310"/>
      <c r="D74" s="309"/>
      <c r="E74" s="309">
        <v>3777</v>
      </c>
      <c r="F74" s="309">
        <v>5250</v>
      </c>
      <c r="G74" s="309">
        <f>D75</f>
        <v>6215</v>
      </c>
      <c r="H74" s="230">
        <v>6215</v>
      </c>
      <c r="I74" s="230">
        <v>6215</v>
      </c>
      <c r="J74" s="230"/>
      <c r="K74" s="3"/>
    </row>
    <row r="75" spans="1:11" x14ac:dyDescent="0.2">
      <c r="A75" s="310" t="s">
        <v>902</v>
      </c>
      <c r="B75" s="309">
        <v>11</v>
      </c>
      <c r="C75" s="3">
        <v>565</v>
      </c>
      <c r="D75" s="309">
        <f>+C75*B75</f>
        <v>6215</v>
      </c>
      <c r="E75" s="309"/>
      <c r="F75" s="309"/>
      <c r="G75" s="309"/>
      <c r="H75" s="230"/>
      <c r="I75" s="230"/>
      <c r="J75" s="230"/>
      <c r="K75" s="3"/>
    </row>
    <row r="76" spans="1:11" x14ac:dyDescent="0.2">
      <c r="A76" s="310"/>
      <c r="B76" s="310"/>
      <c r="C76" s="310"/>
      <c r="D76" s="309"/>
      <c r="E76" s="309"/>
      <c r="F76" s="309"/>
      <c r="G76" s="309"/>
      <c r="H76" s="230"/>
      <c r="I76" s="230"/>
      <c r="J76" s="230"/>
      <c r="K76" s="3"/>
    </row>
    <row r="77" spans="1:11" ht="13.5" x14ac:dyDescent="0.25">
      <c r="A77" s="307" t="s">
        <v>202</v>
      </c>
      <c r="B77" s="310"/>
      <c r="C77" s="310"/>
      <c r="D77" s="309"/>
      <c r="E77" s="309">
        <v>758</v>
      </c>
      <c r="F77" s="309">
        <v>1839</v>
      </c>
      <c r="G77" s="309">
        <f>D81</f>
        <v>2045.4674579120001</v>
      </c>
      <c r="H77" s="230">
        <v>2045</v>
      </c>
      <c r="I77" s="230">
        <v>2045</v>
      </c>
      <c r="J77" s="230"/>
      <c r="K77" s="3"/>
    </row>
    <row r="78" spans="1:11" hidden="1" x14ac:dyDescent="0.2">
      <c r="A78" s="318" t="s">
        <v>1536</v>
      </c>
      <c r="B78" s="309">
        <f>+G6</f>
        <v>284935.56000000006</v>
      </c>
      <c r="C78" s="319">
        <v>1.89E-3</v>
      </c>
      <c r="D78" s="309">
        <f>+C78*B78</f>
        <v>538.52820840000015</v>
      </c>
      <c r="E78" s="309"/>
      <c r="F78" s="309"/>
      <c r="G78" s="309"/>
      <c r="H78" s="230"/>
      <c r="I78" s="230"/>
      <c r="J78" s="230"/>
      <c r="K78" s="3"/>
    </row>
    <row r="79" spans="1:11" hidden="1" x14ac:dyDescent="0.2">
      <c r="A79" s="318" t="s">
        <v>883</v>
      </c>
      <c r="B79" s="309">
        <f>+G16</f>
        <v>298917.73879999999</v>
      </c>
      <c r="C79" s="319">
        <v>1.74E-3</v>
      </c>
      <c r="D79" s="309">
        <f>+C79*B79</f>
        <v>520.116865512</v>
      </c>
      <c r="E79" s="309"/>
      <c r="F79" s="309"/>
      <c r="G79" s="309"/>
      <c r="H79" s="230"/>
      <c r="I79" s="230"/>
      <c r="J79" s="230"/>
      <c r="K79" s="3"/>
    </row>
    <row r="80" spans="1:11" ht="15" hidden="1" x14ac:dyDescent="0.35">
      <c r="A80" s="318" t="s">
        <v>196</v>
      </c>
      <c r="B80" s="309">
        <f>+G41</f>
        <v>45383.520000000004</v>
      </c>
      <c r="C80" s="319">
        <v>2.1700000000000001E-2</v>
      </c>
      <c r="D80" s="313">
        <f>+C80*B80</f>
        <v>984.82238400000006</v>
      </c>
      <c r="E80" s="309"/>
      <c r="F80" s="309"/>
      <c r="G80" s="309"/>
      <c r="H80" s="230"/>
      <c r="I80" s="230"/>
      <c r="J80" s="230"/>
      <c r="K80" s="3"/>
    </row>
    <row r="81" spans="1:11" hidden="1" x14ac:dyDescent="0.2">
      <c r="A81" s="310" t="s">
        <v>1320</v>
      </c>
      <c r="B81" s="310"/>
      <c r="C81" s="310"/>
      <c r="D81" s="309">
        <f>SUM(D78:D80)+2</f>
        <v>2045.4674579120001</v>
      </c>
      <c r="E81" s="309"/>
      <c r="F81" s="309"/>
      <c r="G81" s="309"/>
      <c r="H81" s="230"/>
      <c r="I81" s="230"/>
      <c r="J81" s="230"/>
      <c r="K81" s="3"/>
    </row>
    <row r="82" spans="1:11" x14ac:dyDescent="0.2">
      <c r="A82" s="310"/>
      <c r="B82" s="310"/>
      <c r="C82" s="310"/>
      <c r="D82" s="309"/>
      <c r="E82" s="309"/>
      <c r="F82" s="309"/>
      <c r="G82" s="309"/>
      <c r="H82" s="230"/>
      <c r="I82" s="230"/>
      <c r="J82" s="230"/>
      <c r="K82" s="3"/>
    </row>
    <row r="83" spans="1:11" ht="13.5" x14ac:dyDescent="0.25">
      <c r="A83" s="307" t="s">
        <v>203</v>
      </c>
      <c r="B83" s="310"/>
      <c r="C83" s="310"/>
      <c r="D83" s="309"/>
      <c r="E83" s="309">
        <v>254</v>
      </c>
      <c r="F83" s="309">
        <v>395</v>
      </c>
      <c r="G83" s="309">
        <f>D89</f>
        <v>364.61601831999997</v>
      </c>
      <c r="H83" s="230">
        <v>365</v>
      </c>
      <c r="I83" s="230">
        <v>365</v>
      </c>
      <c r="J83" s="230"/>
      <c r="K83" s="3"/>
    </row>
    <row r="84" spans="1:11" hidden="1" x14ac:dyDescent="0.2">
      <c r="A84" s="318" t="s">
        <v>1536</v>
      </c>
      <c r="B84" s="309">
        <v>5</v>
      </c>
      <c r="C84" s="309">
        <v>20</v>
      </c>
      <c r="D84" s="309">
        <f>+C84*B84</f>
        <v>100</v>
      </c>
      <c r="E84" s="309"/>
      <c r="F84" s="309"/>
      <c r="G84" s="309"/>
      <c r="H84" s="230"/>
      <c r="I84" s="230"/>
      <c r="J84" s="230"/>
      <c r="K84" s="3"/>
    </row>
    <row r="85" spans="1:11" hidden="1" x14ac:dyDescent="0.2">
      <c r="A85" s="318" t="s">
        <v>300</v>
      </c>
      <c r="B85" s="309">
        <v>5</v>
      </c>
      <c r="C85" s="309">
        <v>20</v>
      </c>
      <c r="D85" s="309">
        <f>+C85*B85</f>
        <v>100</v>
      </c>
      <c r="E85" s="309"/>
      <c r="F85" s="309"/>
      <c r="G85" s="309"/>
      <c r="H85" s="230"/>
      <c r="I85" s="230"/>
      <c r="J85" s="230"/>
      <c r="K85" s="3"/>
    </row>
    <row r="86" spans="1:11" hidden="1" x14ac:dyDescent="0.2">
      <c r="A86" s="310" t="s">
        <v>312</v>
      </c>
      <c r="B86" s="309">
        <v>4</v>
      </c>
      <c r="C86" s="309">
        <v>20</v>
      </c>
      <c r="D86" s="309">
        <f>+C86*B86</f>
        <v>80</v>
      </c>
      <c r="E86" s="309"/>
      <c r="F86" s="309"/>
      <c r="G86" s="309"/>
      <c r="H86" s="230"/>
      <c r="I86" s="230"/>
      <c r="J86" s="230"/>
      <c r="K86" s="3"/>
    </row>
    <row r="87" spans="1:11" hidden="1" x14ac:dyDescent="0.2">
      <c r="A87" s="310" t="s">
        <v>627</v>
      </c>
      <c r="B87" s="309">
        <f>SUM(D27,D30,D31,D32,D33,D37)</f>
        <v>46154.298799999997</v>
      </c>
      <c r="C87" s="319">
        <v>1.4E-3</v>
      </c>
      <c r="D87" s="309">
        <f>+C87*B87</f>
        <v>64.616018319999995</v>
      </c>
      <c r="E87" s="309"/>
      <c r="F87" s="309"/>
      <c r="G87" s="309"/>
      <c r="H87" s="230"/>
      <c r="I87" s="230"/>
      <c r="J87" s="230"/>
      <c r="K87" s="3"/>
    </row>
    <row r="88" spans="1:11" ht="15" hidden="1" x14ac:dyDescent="0.35">
      <c r="A88" s="310" t="s">
        <v>301</v>
      </c>
      <c r="B88" s="309">
        <v>1</v>
      </c>
      <c r="C88" s="309">
        <v>20</v>
      </c>
      <c r="D88" s="313">
        <f>+C88*B88</f>
        <v>20</v>
      </c>
      <c r="E88" s="309"/>
      <c r="F88" s="309"/>
      <c r="G88" s="309"/>
      <c r="H88" s="230"/>
      <c r="I88" s="230"/>
      <c r="J88" s="230"/>
      <c r="K88" s="3"/>
    </row>
    <row r="89" spans="1:11" hidden="1" x14ac:dyDescent="0.2">
      <c r="A89" s="310" t="s">
        <v>1320</v>
      </c>
      <c r="B89" s="310"/>
      <c r="C89" s="310"/>
      <c r="D89" s="309">
        <f>SUM(D84:D88)</f>
        <v>364.61601831999997</v>
      </c>
      <c r="E89" s="309"/>
      <c r="F89" s="310"/>
      <c r="G89" s="310"/>
      <c r="H89" s="230"/>
      <c r="I89" s="230"/>
      <c r="J89" s="230"/>
      <c r="K89" s="3"/>
    </row>
    <row r="90" spans="1:11" x14ac:dyDescent="0.2">
      <c r="A90" s="310"/>
      <c r="B90" s="310"/>
      <c r="C90" s="310"/>
      <c r="D90" s="309"/>
      <c r="E90" s="309"/>
      <c r="F90" s="310"/>
      <c r="G90" s="310"/>
      <c r="H90" s="230"/>
      <c r="I90" s="230"/>
      <c r="J90" s="230"/>
      <c r="K90" s="3"/>
    </row>
    <row r="91" spans="1:11" ht="13.5" x14ac:dyDescent="0.25">
      <c r="A91" s="307" t="s">
        <v>1782</v>
      </c>
      <c r="B91" s="310"/>
      <c r="C91" s="310"/>
      <c r="D91" s="309"/>
      <c r="E91" s="309">
        <v>0</v>
      </c>
      <c r="F91" s="309">
        <v>1500</v>
      </c>
      <c r="G91" s="309">
        <f>D92</f>
        <v>1500</v>
      </c>
      <c r="H91" s="230">
        <v>1500</v>
      </c>
      <c r="I91" s="230">
        <v>1500</v>
      </c>
      <c r="J91" s="230"/>
      <c r="K91" s="3"/>
    </row>
    <row r="92" spans="1:11" x14ac:dyDescent="0.2">
      <c r="A92" s="310" t="s">
        <v>191</v>
      </c>
      <c r="B92" s="310"/>
      <c r="C92" s="310"/>
      <c r="D92" s="309">
        <v>1500</v>
      </c>
      <c r="E92" s="309"/>
      <c r="F92" s="305"/>
      <c r="G92" s="305"/>
      <c r="H92" s="230"/>
      <c r="I92" s="230"/>
      <c r="J92" s="230"/>
      <c r="K92" s="3"/>
    </row>
    <row r="93" spans="1:11" x14ac:dyDescent="0.2">
      <c r="A93" s="310"/>
      <c r="B93" s="310"/>
      <c r="C93" s="310"/>
      <c r="D93" s="309"/>
      <c r="E93" s="309"/>
      <c r="F93" s="310"/>
      <c r="G93" s="310"/>
      <c r="H93" s="230"/>
      <c r="I93" s="230"/>
      <c r="J93" s="230"/>
      <c r="K93" s="3"/>
    </row>
    <row r="94" spans="1:11" ht="13.5" x14ac:dyDescent="0.25">
      <c r="A94" s="307" t="s">
        <v>276</v>
      </c>
      <c r="B94" s="310"/>
      <c r="C94" s="310"/>
      <c r="D94" s="309"/>
      <c r="E94" s="309">
        <v>9321</v>
      </c>
      <c r="F94" s="309">
        <v>9520</v>
      </c>
      <c r="G94" s="309">
        <f>D98</f>
        <v>9520</v>
      </c>
      <c r="H94" s="230">
        <v>9520</v>
      </c>
      <c r="I94" s="230">
        <v>9520</v>
      </c>
      <c r="J94" s="230"/>
      <c r="K94" s="3"/>
    </row>
    <row r="95" spans="1:11" x14ac:dyDescent="0.2">
      <c r="A95" s="320" t="s">
        <v>563</v>
      </c>
      <c r="B95" s="320"/>
      <c r="C95" s="309"/>
      <c r="D95" s="309">
        <f>3600+820+300</f>
        <v>4720</v>
      </c>
      <c r="E95" s="309"/>
      <c r="F95" s="309"/>
      <c r="G95" s="309"/>
      <c r="H95" s="230"/>
      <c r="I95" s="230"/>
      <c r="J95" s="230"/>
      <c r="K95" s="3"/>
    </row>
    <row r="96" spans="1:11" x14ac:dyDescent="0.2">
      <c r="A96" s="320" t="s">
        <v>564</v>
      </c>
      <c r="B96" s="320"/>
      <c r="C96" s="309"/>
      <c r="D96" s="309">
        <v>2800</v>
      </c>
      <c r="E96" s="309"/>
      <c r="F96" s="309"/>
      <c r="G96" s="309"/>
      <c r="H96" s="230"/>
      <c r="I96" s="230"/>
      <c r="J96" s="230"/>
      <c r="K96" s="3"/>
    </row>
    <row r="97" spans="1:11" ht="15" x14ac:dyDescent="0.35">
      <c r="A97" s="320" t="s">
        <v>247</v>
      </c>
      <c r="B97" s="320"/>
      <c r="C97" s="313"/>
      <c r="D97" s="313">
        <v>2000</v>
      </c>
      <c r="E97" s="309"/>
      <c r="F97" s="309"/>
      <c r="G97" s="309"/>
      <c r="H97" s="230"/>
      <c r="I97" s="230"/>
      <c r="J97" s="230"/>
      <c r="K97" s="3"/>
    </row>
    <row r="98" spans="1:11" x14ac:dyDescent="0.2">
      <c r="A98" s="320" t="s">
        <v>1320</v>
      </c>
      <c r="B98" s="320"/>
      <c r="C98" s="309"/>
      <c r="D98" s="309">
        <f>SUM(D95:D97)</f>
        <v>9520</v>
      </c>
      <c r="E98" s="309"/>
      <c r="F98" s="309"/>
      <c r="G98" s="309"/>
      <c r="H98" s="230"/>
      <c r="I98" s="230"/>
      <c r="J98" s="230"/>
      <c r="K98" s="3"/>
    </row>
    <row r="99" spans="1:11" x14ac:dyDescent="0.2">
      <c r="A99" s="320"/>
      <c r="B99" s="320"/>
      <c r="C99" s="309"/>
      <c r="D99" s="309"/>
      <c r="E99" s="309"/>
      <c r="F99" s="309"/>
      <c r="G99" s="309"/>
      <c r="H99" s="230"/>
      <c r="I99" s="230"/>
      <c r="J99" s="230"/>
      <c r="K99" s="3"/>
    </row>
    <row r="100" spans="1:11" ht="13.5" x14ac:dyDescent="0.25">
      <c r="A100" s="307" t="s">
        <v>30</v>
      </c>
      <c r="B100" s="310"/>
      <c r="C100" s="309"/>
      <c r="D100" s="309" t="s">
        <v>418</v>
      </c>
      <c r="E100" s="309">
        <v>4076</v>
      </c>
      <c r="F100" s="309">
        <v>4000</v>
      </c>
      <c r="G100" s="309">
        <f>D101</f>
        <v>4000</v>
      </c>
      <c r="H100" s="230">
        <v>4000</v>
      </c>
      <c r="I100" s="230">
        <v>4000</v>
      </c>
      <c r="J100" s="230"/>
      <c r="K100" s="3"/>
    </row>
    <row r="101" spans="1:11" x14ac:dyDescent="0.2">
      <c r="A101" s="310" t="s">
        <v>1099</v>
      </c>
      <c r="B101" s="310"/>
      <c r="C101" s="309"/>
      <c r="D101" s="309">
        <v>4000</v>
      </c>
      <c r="E101" s="309"/>
      <c r="F101" s="309"/>
      <c r="G101" s="309"/>
      <c r="H101" s="230"/>
      <c r="I101" s="230"/>
      <c r="J101" s="230"/>
      <c r="K101" s="3"/>
    </row>
    <row r="102" spans="1:11" x14ac:dyDescent="0.2">
      <c r="A102" s="310" t="s">
        <v>418</v>
      </c>
      <c r="B102" s="310"/>
      <c r="C102" s="309"/>
      <c r="D102" s="309" t="s">
        <v>418</v>
      </c>
      <c r="E102" s="309"/>
      <c r="F102" s="309"/>
      <c r="G102" s="309"/>
      <c r="H102" s="230"/>
      <c r="I102" s="230"/>
      <c r="J102" s="230"/>
      <c r="K102" s="3"/>
    </row>
    <row r="103" spans="1:11" ht="13.5" x14ac:dyDescent="0.25">
      <c r="A103" s="307" t="s">
        <v>248</v>
      </c>
      <c r="B103" s="310"/>
      <c r="C103" s="309"/>
      <c r="D103" s="309"/>
      <c r="E103" s="309">
        <v>470</v>
      </c>
      <c r="F103" s="309">
        <v>500</v>
      </c>
      <c r="G103" s="309">
        <f>D104</f>
        <v>500</v>
      </c>
      <c r="H103" s="230">
        <v>500</v>
      </c>
      <c r="I103" s="230">
        <v>500</v>
      </c>
      <c r="J103" s="230"/>
      <c r="K103" s="3"/>
    </row>
    <row r="104" spans="1:11" x14ac:dyDescent="0.2">
      <c r="A104" s="310" t="s">
        <v>1956</v>
      </c>
      <c r="B104" s="310"/>
      <c r="C104" s="309"/>
      <c r="D104" s="309">
        <v>500</v>
      </c>
      <c r="E104" s="309"/>
      <c r="F104" s="309"/>
      <c r="G104" s="309"/>
      <c r="H104" s="230"/>
      <c r="I104" s="230"/>
      <c r="J104" s="230"/>
      <c r="K104" s="3"/>
    </row>
    <row r="105" spans="1:11" x14ac:dyDescent="0.2">
      <c r="A105" s="310"/>
      <c r="B105" s="310"/>
      <c r="C105" s="309"/>
      <c r="D105" s="370"/>
      <c r="E105" s="309"/>
      <c r="F105" s="309"/>
      <c r="G105" s="309"/>
      <c r="H105" s="230"/>
      <c r="I105" s="230"/>
      <c r="J105" s="230"/>
      <c r="K105" s="3"/>
    </row>
    <row r="106" spans="1:11" ht="13.5" x14ac:dyDescent="0.25">
      <c r="A106" s="307" t="s">
        <v>1447</v>
      </c>
      <c r="B106" s="310"/>
      <c r="C106" s="309"/>
      <c r="D106" s="309" t="s">
        <v>418</v>
      </c>
      <c r="E106" s="309">
        <v>14810</v>
      </c>
      <c r="F106" s="309">
        <v>15150</v>
      </c>
      <c r="G106" s="309">
        <f>D107</f>
        <v>15150</v>
      </c>
      <c r="H106" s="230">
        <v>15150</v>
      </c>
      <c r="I106" s="230">
        <v>15150</v>
      </c>
      <c r="J106" s="230"/>
      <c r="K106" s="3"/>
    </row>
    <row r="107" spans="1:11" x14ac:dyDescent="0.2">
      <c r="A107" s="310" t="s">
        <v>1448</v>
      </c>
      <c r="B107" s="310"/>
      <c r="C107" s="309"/>
      <c r="D107" s="309">
        <v>15150</v>
      </c>
      <c r="E107" s="309"/>
      <c r="F107" s="309"/>
      <c r="G107" s="309"/>
      <c r="H107" s="230"/>
      <c r="I107" s="230"/>
      <c r="J107" s="230"/>
      <c r="K107" s="3"/>
    </row>
    <row r="108" spans="1:11" x14ac:dyDescent="0.2">
      <c r="A108" s="310" t="s">
        <v>418</v>
      </c>
      <c r="B108" s="310"/>
      <c r="C108" s="310"/>
      <c r="D108" s="309" t="s">
        <v>418</v>
      </c>
      <c r="E108" s="309"/>
      <c r="F108" s="309"/>
      <c r="G108" s="309"/>
      <c r="H108" s="230"/>
      <c r="I108" s="230"/>
      <c r="J108" s="230"/>
      <c r="K108" s="3"/>
    </row>
    <row r="109" spans="1:11" ht="13.5" x14ac:dyDescent="0.25">
      <c r="A109" s="307" t="s">
        <v>413</v>
      </c>
      <c r="B109" s="310"/>
      <c r="C109" s="310"/>
      <c r="D109" s="309"/>
      <c r="E109" s="309">
        <v>3938</v>
      </c>
      <c r="F109" s="309">
        <v>4500</v>
      </c>
      <c r="G109" s="309">
        <f>D110</f>
        <v>4200</v>
      </c>
      <c r="H109" s="230">
        <v>4200</v>
      </c>
      <c r="I109" s="230">
        <v>4200</v>
      </c>
      <c r="J109" s="230"/>
      <c r="K109" s="3"/>
    </row>
    <row r="110" spans="1:11" x14ac:dyDescent="0.2">
      <c r="A110" s="310" t="s">
        <v>1448</v>
      </c>
      <c r="B110" s="310"/>
      <c r="C110" s="310"/>
      <c r="D110" s="309">
        <v>4200</v>
      </c>
      <c r="E110" s="309"/>
      <c r="F110" s="309"/>
      <c r="G110" s="309"/>
      <c r="H110" s="230"/>
      <c r="I110" s="230"/>
      <c r="J110" s="230"/>
      <c r="K110" s="3"/>
    </row>
    <row r="111" spans="1:11" x14ac:dyDescent="0.2">
      <c r="A111" s="310"/>
      <c r="B111" s="310"/>
      <c r="C111" s="310"/>
      <c r="D111" s="309"/>
      <c r="E111" s="309"/>
      <c r="F111" s="309"/>
      <c r="G111" s="309"/>
      <c r="H111" s="230"/>
      <c r="I111" s="230"/>
      <c r="J111" s="230"/>
      <c r="K111" s="3"/>
    </row>
    <row r="112" spans="1:11" ht="13.5" x14ac:dyDescent="0.25">
      <c r="A112" s="307" t="s">
        <v>1265</v>
      </c>
      <c r="B112" s="310"/>
      <c r="C112" s="310"/>
      <c r="D112" s="309"/>
      <c r="E112" s="309">
        <v>1717</v>
      </c>
      <c r="F112" s="309">
        <v>1400</v>
      </c>
      <c r="G112" s="309">
        <f>D113</f>
        <v>1800</v>
      </c>
      <c r="H112" s="230">
        <v>1800</v>
      </c>
      <c r="I112" s="230">
        <v>1800</v>
      </c>
      <c r="J112" s="230"/>
      <c r="K112" s="3"/>
    </row>
    <row r="113" spans="1:11" x14ac:dyDescent="0.2">
      <c r="A113" s="310" t="s">
        <v>1448</v>
      </c>
      <c r="B113" s="310"/>
      <c r="C113" s="309"/>
      <c r="D113" s="309">
        <v>1800</v>
      </c>
      <c r="E113" s="309"/>
      <c r="F113" s="309"/>
      <c r="G113" s="309"/>
      <c r="H113" s="230"/>
      <c r="I113" s="230"/>
      <c r="J113" s="230"/>
      <c r="K113" s="3"/>
    </row>
    <row r="114" spans="1:11" x14ac:dyDescent="0.2">
      <c r="A114" s="310"/>
      <c r="B114" s="310"/>
      <c r="C114" s="309"/>
      <c r="D114" s="309"/>
      <c r="E114" s="309"/>
      <c r="F114" s="309"/>
      <c r="G114" s="309"/>
      <c r="H114" s="230"/>
      <c r="I114" s="230"/>
      <c r="J114" s="230"/>
      <c r="K114" s="3"/>
    </row>
    <row r="115" spans="1:11" ht="13.5" x14ac:dyDescent="0.25">
      <c r="A115" s="307" t="s">
        <v>1266</v>
      </c>
      <c r="B115" s="310"/>
      <c r="C115" s="309"/>
      <c r="D115" s="309"/>
      <c r="E115" s="309">
        <v>296</v>
      </c>
      <c r="F115" s="309">
        <v>304</v>
      </c>
      <c r="G115" s="309">
        <f>D116</f>
        <v>340</v>
      </c>
      <c r="H115" s="230">
        <v>340</v>
      </c>
      <c r="I115" s="230">
        <v>340</v>
      </c>
      <c r="J115" s="230"/>
      <c r="K115" s="3"/>
    </row>
    <row r="116" spans="1:11" x14ac:dyDescent="0.2">
      <c r="A116" s="310" t="s">
        <v>1448</v>
      </c>
      <c r="B116" s="310"/>
      <c r="C116" s="309"/>
      <c r="D116" s="309">
        <v>340</v>
      </c>
      <c r="E116" s="309"/>
      <c r="F116" s="309"/>
      <c r="G116" s="309"/>
      <c r="H116" s="230"/>
      <c r="I116" s="230"/>
      <c r="J116" s="230"/>
      <c r="K116" s="3"/>
    </row>
    <row r="117" spans="1:11" x14ac:dyDescent="0.2">
      <c r="A117" s="310"/>
      <c r="B117" s="310"/>
      <c r="C117" s="309"/>
      <c r="D117" s="309"/>
      <c r="E117" s="309"/>
      <c r="F117" s="309"/>
      <c r="G117" s="309"/>
      <c r="H117" s="230"/>
      <c r="I117" s="230"/>
      <c r="J117" s="230"/>
      <c r="K117" s="3"/>
    </row>
    <row r="118" spans="1:11" ht="13.5" x14ac:dyDescent="0.25">
      <c r="A118" s="307" t="s">
        <v>1788</v>
      </c>
      <c r="B118" s="310"/>
      <c r="C118" s="309"/>
      <c r="D118" s="309"/>
      <c r="E118" s="309">
        <v>5987</v>
      </c>
      <c r="F118" s="309">
        <v>5825</v>
      </c>
      <c r="G118" s="309">
        <f>D125</f>
        <v>6000</v>
      </c>
      <c r="H118" s="230">
        <v>6000</v>
      </c>
      <c r="I118" s="230">
        <v>6000</v>
      </c>
      <c r="J118" s="230"/>
      <c r="K118" s="3"/>
    </row>
    <row r="119" spans="1:11" x14ac:dyDescent="0.2">
      <c r="A119" s="318" t="s">
        <v>1789</v>
      </c>
      <c r="B119" s="310"/>
      <c r="C119" s="309"/>
      <c r="D119" s="491"/>
      <c r="E119" s="309"/>
      <c r="F119" s="309"/>
      <c r="G119" s="309"/>
      <c r="H119" s="230"/>
      <c r="I119" s="230"/>
      <c r="J119" s="230"/>
      <c r="K119" s="3"/>
    </row>
    <row r="120" spans="1:11" x14ac:dyDescent="0.2">
      <c r="A120" s="310" t="s">
        <v>1866</v>
      </c>
      <c r="B120" s="310"/>
      <c r="C120" s="309"/>
      <c r="D120" s="309">
        <v>3375</v>
      </c>
      <c r="E120" s="309"/>
      <c r="F120" s="309"/>
      <c r="G120" s="309"/>
      <c r="H120" s="230"/>
      <c r="I120" s="230"/>
      <c r="J120" s="230"/>
      <c r="K120" s="3"/>
    </row>
    <row r="121" spans="1:11" x14ac:dyDescent="0.2">
      <c r="A121" s="318" t="s">
        <v>1790</v>
      </c>
      <c r="B121" s="310"/>
      <c r="C121" s="309"/>
      <c r="D121" s="309">
        <v>749</v>
      </c>
      <c r="E121" s="309"/>
      <c r="F121" s="309"/>
      <c r="G121" s="309"/>
      <c r="H121" s="230"/>
      <c r="I121" s="230"/>
      <c r="J121" s="230"/>
      <c r="K121" s="3"/>
    </row>
    <row r="122" spans="1:11" x14ac:dyDescent="0.2">
      <c r="A122" s="310" t="s">
        <v>1156</v>
      </c>
      <c r="B122" s="310"/>
      <c r="C122" s="309"/>
      <c r="D122" s="309">
        <v>736</v>
      </c>
      <c r="E122" s="309"/>
      <c r="F122" s="309"/>
      <c r="G122" s="309"/>
      <c r="H122" s="230"/>
      <c r="I122" s="230"/>
      <c r="J122" s="230"/>
      <c r="K122" s="3"/>
    </row>
    <row r="123" spans="1:11" x14ac:dyDescent="0.2">
      <c r="A123" s="310" t="s">
        <v>1410</v>
      </c>
      <c r="B123" s="310"/>
      <c r="C123" s="309"/>
      <c r="D123" s="309">
        <v>417</v>
      </c>
      <c r="E123" s="309"/>
      <c r="F123" s="309"/>
      <c r="G123" s="309"/>
      <c r="H123" s="230"/>
      <c r="I123" s="230"/>
      <c r="J123" s="230"/>
      <c r="K123" s="3"/>
    </row>
    <row r="124" spans="1:11" ht="15" x14ac:dyDescent="0.35">
      <c r="A124" s="310" t="s">
        <v>1791</v>
      </c>
      <c r="B124" s="310"/>
      <c r="C124" s="313"/>
      <c r="D124" s="313">
        <v>723</v>
      </c>
      <c r="E124" s="309"/>
      <c r="F124" s="309"/>
      <c r="G124" s="309"/>
      <c r="H124" s="230"/>
      <c r="I124" s="230"/>
      <c r="J124" s="230"/>
      <c r="K124" s="3"/>
    </row>
    <row r="125" spans="1:11" x14ac:dyDescent="0.2">
      <c r="A125" s="310" t="s">
        <v>1320</v>
      </c>
      <c r="B125" s="310"/>
      <c r="C125" s="309"/>
      <c r="D125" s="309">
        <f>SUM(D120:D124)</f>
        <v>6000</v>
      </c>
      <c r="E125" s="309"/>
      <c r="F125" s="309"/>
      <c r="G125" s="309"/>
      <c r="H125" s="230"/>
      <c r="I125" s="230"/>
      <c r="J125" s="230"/>
      <c r="K125" s="3"/>
    </row>
    <row r="126" spans="1:11" x14ac:dyDescent="0.2">
      <c r="A126" s="310"/>
      <c r="B126" s="310"/>
      <c r="C126" s="309"/>
      <c r="D126" s="309"/>
      <c r="E126" s="309"/>
      <c r="F126" s="309"/>
      <c r="G126" s="309"/>
      <c r="H126" s="230"/>
      <c r="I126" s="230"/>
      <c r="J126" s="230"/>
      <c r="K126" s="3"/>
    </row>
    <row r="127" spans="1:11" ht="13.5" x14ac:dyDescent="0.25">
      <c r="A127" s="307" t="s">
        <v>1339</v>
      </c>
      <c r="B127" s="310"/>
      <c r="C127" s="309"/>
      <c r="D127" s="309"/>
      <c r="E127" s="309">
        <v>1208</v>
      </c>
      <c r="F127" s="309">
        <v>1800</v>
      </c>
      <c r="G127" s="309">
        <f>D133</f>
        <v>1800</v>
      </c>
      <c r="H127" s="230">
        <v>1800</v>
      </c>
      <c r="I127" s="230">
        <v>1800</v>
      </c>
      <c r="J127" s="230"/>
      <c r="K127" s="3"/>
    </row>
    <row r="128" spans="1:11" x14ac:dyDescent="0.2">
      <c r="A128" s="310" t="s">
        <v>1340</v>
      </c>
      <c r="B128" s="310"/>
      <c r="C128" s="309"/>
      <c r="D128" s="309">
        <v>400</v>
      </c>
      <c r="E128" s="309"/>
      <c r="F128" s="309"/>
      <c r="G128" s="309"/>
      <c r="H128" s="230"/>
      <c r="I128" s="230"/>
      <c r="J128" s="230"/>
      <c r="K128" s="3"/>
    </row>
    <row r="129" spans="1:11" x14ac:dyDescent="0.2">
      <c r="A129" s="310" t="s">
        <v>1341</v>
      </c>
      <c r="B129" s="310"/>
      <c r="C129" s="309"/>
      <c r="D129" s="309">
        <v>360</v>
      </c>
      <c r="E129" s="309"/>
      <c r="F129" s="309"/>
      <c r="G129" s="309"/>
      <c r="H129" s="230"/>
      <c r="I129" s="230"/>
      <c r="J129" s="230"/>
      <c r="K129" s="3"/>
    </row>
    <row r="130" spans="1:11" x14ac:dyDescent="0.2">
      <c r="A130" s="310" t="s">
        <v>1342</v>
      </c>
      <c r="B130" s="310"/>
      <c r="C130" s="309"/>
      <c r="D130" s="309">
        <f>710+50</f>
        <v>760</v>
      </c>
      <c r="E130" s="309"/>
      <c r="F130" s="309"/>
      <c r="G130" s="309"/>
      <c r="H130" s="230"/>
      <c r="I130" s="230"/>
      <c r="J130" s="230"/>
      <c r="K130" s="3"/>
    </row>
    <row r="131" spans="1:11" x14ac:dyDescent="0.2">
      <c r="A131" s="310" t="s">
        <v>1086</v>
      </c>
      <c r="B131" s="310"/>
      <c r="C131" s="309"/>
      <c r="D131" s="309">
        <v>100</v>
      </c>
      <c r="E131" s="309"/>
      <c r="F131" s="309"/>
      <c r="G131" s="309"/>
      <c r="H131" s="230"/>
      <c r="I131" s="230"/>
      <c r="J131" s="230"/>
      <c r="K131" s="3"/>
    </row>
    <row r="132" spans="1:11" ht="15" x14ac:dyDescent="0.35">
      <c r="A132" s="310" t="s">
        <v>2114</v>
      </c>
      <c r="B132" s="310"/>
      <c r="C132" s="309"/>
      <c r="D132" s="313">
        <v>180</v>
      </c>
      <c r="E132" s="309"/>
      <c r="F132" s="309"/>
      <c r="G132" s="309"/>
      <c r="H132" s="230"/>
      <c r="I132" s="230"/>
      <c r="J132" s="230"/>
      <c r="K132" s="3"/>
    </row>
    <row r="133" spans="1:11" x14ac:dyDescent="0.2">
      <c r="A133" s="310" t="s">
        <v>1320</v>
      </c>
      <c r="B133" s="310"/>
      <c r="C133" s="309"/>
      <c r="D133" s="309">
        <f>SUM(D128:D132)</f>
        <v>1800</v>
      </c>
      <c r="E133" s="309"/>
      <c r="F133" s="309"/>
      <c r="G133" s="309"/>
      <c r="H133" s="230"/>
      <c r="I133" s="230"/>
      <c r="J133" s="230"/>
      <c r="K133" s="3"/>
    </row>
    <row r="134" spans="1:11" x14ac:dyDescent="0.2">
      <c r="A134" s="310" t="s">
        <v>418</v>
      </c>
      <c r="B134" s="309" t="s">
        <v>418</v>
      </c>
      <c r="C134" s="309"/>
      <c r="D134" s="309" t="s">
        <v>418</v>
      </c>
      <c r="E134" s="309"/>
      <c r="F134" s="309"/>
      <c r="G134" s="309"/>
      <c r="H134" s="230"/>
      <c r="I134" s="230"/>
      <c r="J134" s="230"/>
      <c r="K134" s="3"/>
    </row>
    <row r="135" spans="1:11" ht="13.5" x14ac:dyDescent="0.25">
      <c r="A135" s="321" t="s">
        <v>538</v>
      </c>
      <c r="B135" s="310"/>
      <c r="C135" s="309"/>
      <c r="D135" s="309"/>
      <c r="E135" s="309">
        <v>8158</v>
      </c>
      <c r="F135" s="309">
        <v>9500</v>
      </c>
      <c r="G135" s="309">
        <f>D136</f>
        <v>9975</v>
      </c>
      <c r="H135" s="230">
        <v>9975</v>
      </c>
      <c r="I135" s="230">
        <v>9975</v>
      </c>
      <c r="J135" s="230"/>
      <c r="K135" s="3"/>
    </row>
    <row r="136" spans="1:11" x14ac:dyDescent="0.2">
      <c r="A136" s="310" t="s">
        <v>1540</v>
      </c>
      <c r="B136" s="310"/>
      <c r="C136" s="309"/>
      <c r="D136" s="309">
        <v>9975</v>
      </c>
      <c r="E136" s="309"/>
      <c r="F136" s="309"/>
      <c r="G136" s="309"/>
      <c r="H136" s="230"/>
      <c r="I136" s="230"/>
      <c r="J136" s="230"/>
      <c r="K136" s="3"/>
    </row>
    <row r="137" spans="1:11" x14ac:dyDescent="0.2">
      <c r="A137" s="310"/>
      <c r="B137" s="310"/>
      <c r="C137" s="309"/>
      <c r="D137" s="309"/>
      <c r="E137" s="309"/>
      <c r="F137" s="309"/>
      <c r="G137" s="309"/>
      <c r="H137" s="230"/>
      <c r="I137" s="230"/>
      <c r="J137" s="230"/>
      <c r="K137" s="3"/>
    </row>
    <row r="138" spans="1:11" ht="13.5" x14ac:dyDescent="0.25">
      <c r="A138" s="307" t="s">
        <v>1279</v>
      </c>
      <c r="B138" s="310"/>
      <c r="C138" s="309"/>
      <c r="D138" s="309"/>
      <c r="E138" s="309">
        <v>1748</v>
      </c>
      <c r="F138" s="309">
        <v>2400</v>
      </c>
      <c r="G138" s="309">
        <f>D141</f>
        <v>2400</v>
      </c>
      <c r="H138" s="230">
        <v>2400</v>
      </c>
      <c r="I138" s="230">
        <v>2400</v>
      </c>
      <c r="J138" s="230"/>
      <c r="K138" s="3"/>
    </row>
    <row r="139" spans="1:11" x14ac:dyDescent="0.2">
      <c r="A139" s="310" t="s">
        <v>1662</v>
      </c>
      <c r="B139" s="310"/>
      <c r="C139" s="309"/>
      <c r="D139" s="309">
        <v>1200</v>
      </c>
      <c r="E139" s="309"/>
      <c r="F139" s="309"/>
      <c r="G139" s="309"/>
      <c r="H139" s="230"/>
      <c r="I139" s="230"/>
      <c r="J139" s="230"/>
      <c r="K139" s="3"/>
    </row>
    <row r="140" spans="1:11" ht="15" x14ac:dyDescent="0.35">
      <c r="A140" s="310" t="s">
        <v>1663</v>
      </c>
      <c r="B140" s="310"/>
      <c r="C140" s="313"/>
      <c r="D140" s="313">
        <v>1200</v>
      </c>
      <c r="E140" s="309"/>
      <c r="F140" s="309"/>
      <c r="G140" s="309"/>
      <c r="H140" s="230"/>
      <c r="I140" s="230"/>
      <c r="J140" s="230"/>
      <c r="K140" s="3"/>
    </row>
    <row r="141" spans="1:11" x14ac:dyDescent="0.2">
      <c r="A141" s="310" t="s">
        <v>269</v>
      </c>
      <c r="B141" s="310"/>
      <c r="C141" s="309"/>
      <c r="D141" s="309">
        <f>SUM(D139:D140)</f>
        <v>2400</v>
      </c>
      <c r="E141" s="309"/>
      <c r="F141" s="309"/>
      <c r="G141" s="309"/>
      <c r="H141" s="230"/>
      <c r="I141" s="230"/>
      <c r="J141" s="230"/>
      <c r="K141" s="3"/>
    </row>
    <row r="142" spans="1:11" x14ac:dyDescent="0.2">
      <c r="A142" s="310"/>
      <c r="B142" s="310"/>
      <c r="C142" s="309"/>
      <c r="D142" s="309"/>
      <c r="E142" s="309"/>
      <c r="F142" s="309"/>
      <c r="G142" s="309"/>
      <c r="H142" s="230"/>
      <c r="I142" s="230"/>
      <c r="J142" s="230"/>
      <c r="K142" s="3"/>
    </row>
    <row r="143" spans="1:11" ht="13.5" x14ac:dyDescent="0.25">
      <c r="A143" s="307" t="s">
        <v>447</v>
      </c>
      <c r="B143" s="310"/>
      <c r="C143" s="309"/>
      <c r="D143" s="309"/>
      <c r="E143" s="309">
        <v>40014</v>
      </c>
      <c r="F143" s="309">
        <v>22251</v>
      </c>
      <c r="G143" s="309">
        <f>D157</f>
        <v>23526</v>
      </c>
      <c r="H143" s="230">
        <v>23526</v>
      </c>
      <c r="I143" s="230">
        <v>23526</v>
      </c>
      <c r="J143" s="230"/>
      <c r="K143" s="3"/>
    </row>
    <row r="144" spans="1:11" x14ac:dyDescent="0.2">
      <c r="A144" s="310" t="s">
        <v>293</v>
      </c>
      <c r="B144" s="310"/>
      <c r="C144" s="309"/>
      <c r="D144" s="309">
        <v>2500</v>
      </c>
      <c r="E144" s="309"/>
      <c r="F144" s="309"/>
      <c r="G144" s="309"/>
      <c r="H144" s="230"/>
      <c r="I144" s="230"/>
      <c r="J144" s="230"/>
      <c r="K144" s="3"/>
    </row>
    <row r="145" spans="1:11" x14ac:dyDescent="0.2">
      <c r="A145" s="310" t="s">
        <v>448</v>
      </c>
      <c r="B145" s="310"/>
      <c r="C145" s="309"/>
      <c r="D145" s="309">
        <v>1724</v>
      </c>
      <c r="E145" s="309"/>
      <c r="F145" s="309"/>
      <c r="G145" s="309"/>
      <c r="H145" s="230"/>
      <c r="I145" s="230"/>
      <c r="J145" s="230"/>
      <c r="K145" s="3"/>
    </row>
    <row r="146" spans="1:11" x14ac:dyDescent="0.2">
      <c r="A146" s="310" t="s">
        <v>449</v>
      </c>
      <c r="B146" s="310"/>
      <c r="C146" s="309"/>
      <c r="D146" s="309">
        <v>2600</v>
      </c>
      <c r="E146" s="309"/>
      <c r="F146" s="309"/>
      <c r="G146" s="309"/>
      <c r="H146" s="230"/>
      <c r="I146" s="230"/>
      <c r="J146" s="230"/>
      <c r="K146" s="3"/>
    </row>
    <row r="147" spans="1:11" x14ac:dyDescent="0.2">
      <c r="A147" s="310" t="s">
        <v>677</v>
      </c>
      <c r="B147" s="310"/>
      <c r="C147" s="309"/>
      <c r="D147" s="309">
        <v>3400</v>
      </c>
      <c r="E147" s="309"/>
      <c r="F147" s="309"/>
      <c r="G147" s="309"/>
      <c r="H147" s="230"/>
      <c r="I147" s="230"/>
      <c r="J147" s="230"/>
      <c r="K147" s="3"/>
    </row>
    <row r="148" spans="1:11" x14ac:dyDescent="0.2">
      <c r="A148" s="310" t="s">
        <v>859</v>
      </c>
      <c r="B148" s="310"/>
      <c r="C148" s="309"/>
      <c r="D148" s="309">
        <v>2000</v>
      </c>
      <c r="E148" s="309"/>
      <c r="F148" s="309"/>
      <c r="G148" s="309"/>
      <c r="H148" s="230"/>
      <c r="I148" s="230"/>
      <c r="J148" s="230"/>
      <c r="K148" s="3"/>
    </row>
    <row r="149" spans="1:11" x14ac:dyDescent="0.2">
      <c r="A149" s="310" t="s">
        <v>2650</v>
      </c>
      <c r="B149" s="310"/>
      <c r="C149" s="309"/>
      <c r="D149" s="309">
        <v>750</v>
      </c>
      <c r="E149" s="309"/>
      <c r="F149" s="309"/>
      <c r="G149" s="309"/>
      <c r="H149" s="230"/>
      <c r="I149" s="230"/>
      <c r="J149" s="230"/>
      <c r="K149" s="3"/>
    </row>
    <row r="150" spans="1:11" x14ac:dyDescent="0.2">
      <c r="A150" s="310" t="s">
        <v>1334</v>
      </c>
      <c r="B150" s="310"/>
      <c r="C150" s="309"/>
      <c r="D150" s="309">
        <v>2000</v>
      </c>
      <c r="E150" s="309"/>
      <c r="F150" s="309"/>
      <c r="G150" s="309"/>
      <c r="H150" s="230"/>
      <c r="I150" s="230"/>
      <c r="J150" s="230"/>
      <c r="K150" s="3"/>
    </row>
    <row r="151" spans="1:11" x14ac:dyDescent="0.2">
      <c r="A151" s="310" t="s">
        <v>297</v>
      </c>
      <c r="B151" s="310"/>
      <c r="C151" s="309"/>
      <c r="D151" s="309">
        <v>360</v>
      </c>
      <c r="E151" s="309"/>
      <c r="F151" s="309"/>
      <c r="G151" s="309"/>
      <c r="H151" s="230"/>
      <c r="I151" s="230"/>
      <c r="J151" s="230"/>
      <c r="K151" s="3"/>
    </row>
    <row r="152" spans="1:11" x14ac:dyDescent="0.2">
      <c r="A152" s="310" t="s">
        <v>426</v>
      </c>
      <c r="B152" s="310"/>
      <c r="C152" s="309"/>
      <c r="D152" s="309">
        <v>1600</v>
      </c>
      <c r="E152" s="309"/>
      <c r="F152" s="309"/>
      <c r="G152" s="309"/>
      <c r="H152" s="230"/>
      <c r="I152" s="230"/>
      <c r="J152" s="230"/>
      <c r="K152" s="3"/>
    </row>
    <row r="153" spans="1:11" x14ac:dyDescent="0.2">
      <c r="A153" s="310" t="s">
        <v>298</v>
      </c>
      <c r="B153" s="310"/>
      <c r="C153" s="309"/>
      <c r="D153" s="309">
        <v>1200</v>
      </c>
      <c r="E153" s="309"/>
      <c r="F153" s="309"/>
      <c r="G153" s="309"/>
      <c r="H153" s="230"/>
      <c r="I153" s="230"/>
      <c r="J153" s="230"/>
      <c r="K153" s="3"/>
    </row>
    <row r="154" spans="1:11" x14ac:dyDescent="0.2">
      <c r="A154" s="310" t="s">
        <v>364</v>
      </c>
      <c r="B154" s="310"/>
      <c r="C154" s="309"/>
      <c r="D154" s="309">
        <v>500</v>
      </c>
      <c r="E154" s="309"/>
      <c r="F154" s="309"/>
      <c r="G154" s="309"/>
      <c r="H154" s="230"/>
      <c r="I154" s="230"/>
      <c r="J154" s="230"/>
      <c r="K154" s="3"/>
    </row>
    <row r="155" spans="1:11" ht="15" x14ac:dyDescent="0.35">
      <c r="A155" s="310" t="s">
        <v>299</v>
      </c>
      <c r="B155" s="310"/>
      <c r="C155" s="313"/>
      <c r="D155" s="309">
        <f>237+1255</f>
        <v>1492</v>
      </c>
      <c r="E155" s="309"/>
      <c r="F155" s="309"/>
      <c r="G155" s="309"/>
      <c r="H155" s="230"/>
      <c r="I155" s="230"/>
      <c r="J155" s="230"/>
      <c r="K155" s="3"/>
    </row>
    <row r="156" spans="1:11" ht="15" x14ac:dyDescent="0.35">
      <c r="A156" s="310" t="s">
        <v>2549</v>
      </c>
      <c r="B156" s="310"/>
      <c r="C156" s="313"/>
      <c r="D156" s="313">
        <v>3400</v>
      </c>
      <c r="E156" s="309"/>
      <c r="F156" s="309"/>
      <c r="G156" s="309"/>
      <c r="H156" s="230"/>
      <c r="I156" s="230"/>
      <c r="J156" s="230"/>
      <c r="K156" s="3"/>
    </row>
    <row r="157" spans="1:11" x14ac:dyDescent="0.2">
      <c r="A157" s="310" t="s">
        <v>1320</v>
      </c>
      <c r="B157" s="310"/>
      <c r="C157" s="309"/>
      <c r="D157" s="309">
        <f>SUM(D144:E156)</f>
        <v>23526</v>
      </c>
      <c r="E157" s="309"/>
      <c r="F157" s="309"/>
      <c r="G157" s="309"/>
      <c r="H157" s="230"/>
      <c r="I157" s="230"/>
      <c r="J157" s="230"/>
      <c r="K157" s="3"/>
    </row>
    <row r="158" spans="1:11" x14ac:dyDescent="0.2">
      <c r="A158" s="310"/>
      <c r="B158" s="310"/>
      <c r="C158" s="309"/>
      <c r="D158" s="309"/>
      <c r="E158" s="309"/>
      <c r="F158" s="309"/>
      <c r="G158" s="309"/>
      <c r="H158" s="230"/>
      <c r="I158" s="230"/>
      <c r="J158" s="230"/>
      <c r="K158" s="3"/>
    </row>
    <row r="159" spans="1:11" ht="13.5" x14ac:dyDescent="0.25">
      <c r="A159" s="307" t="s">
        <v>116</v>
      </c>
      <c r="B159" s="310"/>
      <c r="C159" s="309"/>
      <c r="D159" s="309"/>
      <c r="E159" s="309">
        <v>910</v>
      </c>
      <c r="F159" s="309">
        <v>450</v>
      </c>
      <c r="G159" s="309">
        <v>450</v>
      </c>
      <c r="H159" s="230">
        <v>450</v>
      </c>
      <c r="I159" s="230">
        <v>450</v>
      </c>
      <c r="J159" s="230"/>
      <c r="K159" s="3"/>
    </row>
    <row r="160" spans="1:11" x14ac:dyDescent="0.2">
      <c r="A160" s="310" t="s">
        <v>1105</v>
      </c>
      <c r="B160" s="310"/>
      <c r="C160" s="309"/>
      <c r="D160" s="309">
        <v>400</v>
      </c>
      <c r="E160" s="309"/>
      <c r="F160" s="309"/>
      <c r="G160" s="309"/>
      <c r="H160" s="230"/>
      <c r="I160" s="230"/>
      <c r="J160" s="230"/>
      <c r="K160" s="3"/>
    </row>
    <row r="161" spans="1:11" ht="15" x14ac:dyDescent="0.35">
      <c r="A161" s="310" t="s">
        <v>1132</v>
      </c>
      <c r="B161" s="310"/>
      <c r="C161" s="313"/>
      <c r="D161" s="313">
        <v>50</v>
      </c>
      <c r="E161" s="309"/>
      <c r="F161" s="309"/>
      <c r="G161" s="309"/>
      <c r="H161" s="230"/>
      <c r="I161" s="230"/>
      <c r="J161" s="230"/>
      <c r="K161" s="3"/>
    </row>
    <row r="162" spans="1:11" x14ac:dyDescent="0.2">
      <c r="A162" s="310" t="s">
        <v>1320</v>
      </c>
      <c r="B162" s="310"/>
      <c r="C162" s="309"/>
      <c r="D162" s="309">
        <f>SUM(D160:D161)</f>
        <v>450</v>
      </c>
      <c r="E162" s="309"/>
      <c r="F162" s="309"/>
      <c r="G162" s="309"/>
      <c r="H162" s="230"/>
      <c r="I162" s="230"/>
      <c r="J162" s="230"/>
      <c r="K162" s="3"/>
    </row>
    <row r="163" spans="1:11" x14ac:dyDescent="0.2">
      <c r="A163" s="310"/>
      <c r="B163" s="310"/>
      <c r="C163" s="309"/>
      <c r="D163" s="309"/>
      <c r="E163" s="309"/>
      <c r="F163" s="309"/>
      <c r="G163" s="309"/>
      <c r="H163" s="230"/>
      <c r="I163" s="230"/>
      <c r="J163" s="230"/>
      <c r="K163" s="3"/>
    </row>
    <row r="164" spans="1:11" ht="13.5" x14ac:dyDescent="0.25">
      <c r="A164" s="307" t="s">
        <v>436</v>
      </c>
      <c r="B164" s="310"/>
      <c r="C164" s="309"/>
      <c r="D164" s="309"/>
      <c r="E164" s="309">
        <v>1590</v>
      </c>
      <c r="F164" s="309">
        <v>2000</v>
      </c>
      <c r="G164" s="309">
        <f>D165</f>
        <v>2000</v>
      </c>
      <c r="H164" s="230">
        <v>2000</v>
      </c>
      <c r="I164" s="230">
        <v>2000</v>
      </c>
      <c r="J164" s="230"/>
      <c r="K164" s="3"/>
    </row>
    <row r="165" spans="1:11" x14ac:dyDescent="0.2">
      <c r="A165" s="310" t="s">
        <v>1593</v>
      </c>
      <c r="B165" s="310"/>
      <c r="C165" s="309"/>
      <c r="D165" s="309">
        <v>2000</v>
      </c>
      <c r="E165" s="309"/>
      <c r="F165" s="309"/>
      <c r="G165" s="309"/>
      <c r="H165" s="230"/>
      <c r="I165" s="230"/>
      <c r="J165" s="230"/>
      <c r="K165" s="3"/>
    </row>
    <row r="166" spans="1:11" x14ac:dyDescent="0.2">
      <c r="A166" s="310"/>
      <c r="B166" s="310"/>
      <c r="C166" s="309"/>
      <c r="D166" s="309"/>
      <c r="E166" s="309"/>
      <c r="F166" s="309"/>
      <c r="G166" s="309"/>
      <c r="H166" s="230"/>
      <c r="I166" s="230"/>
      <c r="J166" s="230"/>
      <c r="K166" s="3"/>
    </row>
    <row r="167" spans="1:11" ht="13.5" x14ac:dyDescent="0.25">
      <c r="A167" s="307" t="s">
        <v>843</v>
      </c>
      <c r="B167" s="310"/>
      <c r="C167" s="309"/>
      <c r="D167" s="309"/>
      <c r="E167" s="309">
        <v>53840</v>
      </c>
      <c r="F167" s="309">
        <v>47290</v>
      </c>
      <c r="G167" s="309">
        <f>D174</f>
        <v>51370</v>
      </c>
      <c r="H167" s="230">
        <v>51370</v>
      </c>
      <c r="I167" s="230">
        <v>51370</v>
      </c>
      <c r="J167" s="230"/>
      <c r="K167" s="3"/>
    </row>
    <row r="168" spans="1:11" x14ac:dyDescent="0.2">
      <c r="A168" s="310" t="s">
        <v>1609</v>
      </c>
      <c r="B168" s="310"/>
      <c r="C168" s="309"/>
      <c r="D168" s="309">
        <v>3000</v>
      </c>
      <c r="E168" s="309"/>
      <c r="F168" s="309"/>
      <c r="G168" s="309"/>
      <c r="H168" s="230"/>
      <c r="I168" s="230"/>
      <c r="J168" s="230"/>
      <c r="K168" s="3"/>
    </row>
    <row r="169" spans="1:11" x14ac:dyDescent="0.2">
      <c r="A169" s="310" t="s">
        <v>1957</v>
      </c>
      <c r="B169" s="310"/>
      <c r="C169" s="309"/>
      <c r="D169" s="309">
        <v>720</v>
      </c>
      <c r="E169" s="309"/>
      <c r="F169" s="309"/>
      <c r="G169" s="309"/>
      <c r="H169" s="230"/>
      <c r="I169" s="230"/>
      <c r="J169" s="230"/>
      <c r="K169" s="3"/>
    </row>
    <row r="170" spans="1:11" x14ac:dyDescent="0.2">
      <c r="A170" s="310" t="s">
        <v>1958</v>
      </c>
      <c r="B170" s="310"/>
      <c r="C170" s="309"/>
      <c r="D170" s="309">
        <v>2370</v>
      </c>
      <c r="E170" s="309"/>
      <c r="F170" s="309"/>
      <c r="G170" s="309"/>
      <c r="H170" s="230"/>
      <c r="I170" s="230"/>
      <c r="J170" s="230"/>
      <c r="K170" s="3"/>
    </row>
    <row r="171" spans="1:11" x14ac:dyDescent="0.2">
      <c r="A171" s="310" t="s">
        <v>685</v>
      </c>
      <c r="B171" s="310"/>
      <c r="C171" s="309"/>
      <c r="D171" s="309">
        <v>3000</v>
      </c>
      <c r="E171" s="309"/>
      <c r="F171" s="309"/>
      <c r="G171" s="309"/>
      <c r="H171" s="230"/>
      <c r="I171" s="230"/>
      <c r="J171" s="230"/>
      <c r="K171" s="3"/>
    </row>
    <row r="172" spans="1:11" x14ac:dyDescent="0.2">
      <c r="A172" s="310" t="s">
        <v>1959</v>
      </c>
      <c r="B172" s="310"/>
      <c r="C172" s="309"/>
      <c r="D172" s="309">
        <v>3000</v>
      </c>
      <c r="E172" s="309"/>
      <c r="F172" s="309"/>
      <c r="G172" s="309"/>
      <c r="H172" s="230"/>
      <c r="I172" s="230"/>
      <c r="J172" s="230"/>
      <c r="K172" s="3"/>
    </row>
    <row r="173" spans="1:11" ht="15" x14ac:dyDescent="0.35">
      <c r="A173" s="322" t="s">
        <v>1610</v>
      </c>
      <c r="B173" s="310"/>
      <c r="C173" s="313"/>
      <c r="D173" s="516">
        <v>39280</v>
      </c>
      <c r="E173" s="309"/>
      <c r="F173" s="323"/>
      <c r="G173" s="323"/>
      <c r="H173" s="230"/>
      <c r="I173" s="230"/>
      <c r="J173" s="230"/>
      <c r="K173" s="3"/>
    </row>
    <row r="174" spans="1:11" x14ac:dyDescent="0.2">
      <c r="A174" s="310" t="s">
        <v>1320</v>
      </c>
      <c r="B174" s="310"/>
      <c r="C174" s="309"/>
      <c r="D174" s="309">
        <f>SUM(D168:D173)</f>
        <v>51370</v>
      </c>
      <c r="E174" s="309"/>
      <c r="F174" s="309"/>
      <c r="G174" s="309"/>
      <c r="H174" s="230"/>
      <c r="I174" s="230"/>
      <c r="J174" s="230"/>
      <c r="K174" s="3"/>
    </row>
    <row r="175" spans="1:11" x14ac:dyDescent="0.2">
      <c r="A175" s="310"/>
      <c r="B175" s="310"/>
      <c r="C175" s="309"/>
      <c r="D175" s="309"/>
      <c r="E175" s="309"/>
      <c r="F175" s="309"/>
      <c r="G175" s="309"/>
      <c r="H175" s="230"/>
      <c r="I175" s="230"/>
      <c r="J175" s="230"/>
      <c r="K175" s="3"/>
    </row>
    <row r="176" spans="1:11" ht="13.5" x14ac:dyDescent="0.25">
      <c r="A176" s="307" t="s">
        <v>163</v>
      </c>
      <c r="B176" s="310"/>
      <c r="C176" s="309"/>
      <c r="D176" s="309"/>
      <c r="E176" s="309">
        <v>15710</v>
      </c>
      <c r="F176" s="309">
        <v>14176</v>
      </c>
      <c r="G176" s="309">
        <f>+D193</f>
        <v>14846</v>
      </c>
      <c r="H176" s="230">
        <v>14846</v>
      </c>
      <c r="I176" s="230">
        <v>14846</v>
      </c>
      <c r="J176" s="230"/>
      <c r="K176" s="3"/>
    </row>
    <row r="177" spans="1:11" x14ac:dyDescent="0.2">
      <c r="A177" s="317" t="s">
        <v>2027</v>
      </c>
      <c r="B177" s="310"/>
      <c r="C177" s="309"/>
      <c r="D177" s="309">
        <v>120</v>
      </c>
      <c r="E177" s="309"/>
      <c r="F177" s="309"/>
      <c r="G177" s="309"/>
      <c r="H177" s="230"/>
      <c r="I177" s="230"/>
      <c r="J177" s="230"/>
      <c r="K177" s="3"/>
    </row>
    <row r="178" spans="1:11" x14ac:dyDescent="0.2">
      <c r="A178" s="310" t="s">
        <v>164</v>
      </c>
      <c r="B178" s="310"/>
      <c r="C178" s="309"/>
      <c r="D178" s="309">
        <v>150</v>
      </c>
      <c r="E178" s="309"/>
      <c r="F178" s="309"/>
      <c r="G178" s="309"/>
      <c r="H178" s="230"/>
      <c r="I178" s="230"/>
      <c r="J178" s="230"/>
      <c r="K178" s="3"/>
    </row>
    <row r="179" spans="1:11" x14ac:dyDescent="0.2">
      <c r="A179" s="310" t="s">
        <v>1960</v>
      </c>
      <c r="B179" s="310"/>
      <c r="C179" s="309"/>
      <c r="D179" s="309">
        <v>100</v>
      </c>
      <c r="E179" s="309"/>
      <c r="F179" s="309"/>
      <c r="G179" s="309"/>
      <c r="H179" s="230"/>
      <c r="I179" s="230"/>
      <c r="J179" s="230"/>
      <c r="K179" s="3"/>
    </row>
    <row r="180" spans="1:11" x14ac:dyDescent="0.2">
      <c r="A180" s="310" t="s">
        <v>2028</v>
      </c>
      <c r="B180" s="310"/>
      <c r="C180" s="309"/>
      <c r="D180" s="309">
        <v>400</v>
      </c>
      <c r="E180" s="309"/>
      <c r="F180" s="309"/>
      <c r="G180" s="309"/>
      <c r="H180" s="230"/>
      <c r="I180" s="230"/>
      <c r="J180" s="230"/>
      <c r="K180" s="3"/>
    </row>
    <row r="181" spans="1:11" x14ac:dyDescent="0.2">
      <c r="A181" s="310" t="s">
        <v>1611</v>
      </c>
      <c r="B181" s="310"/>
      <c r="C181" s="309"/>
      <c r="D181" s="309">
        <v>490</v>
      </c>
      <c r="E181" s="309"/>
      <c r="F181" s="309"/>
      <c r="G181" s="309"/>
      <c r="H181" s="230"/>
      <c r="I181" s="230"/>
      <c r="J181" s="230"/>
      <c r="K181" s="3"/>
    </row>
    <row r="182" spans="1:11" x14ac:dyDescent="0.2">
      <c r="A182" s="309" t="s">
        <v>2029</v>
      </c>
      <c r="B182" s="310"/>
      <c r="C182" s="309"/>
      <c r="D182" s="370">
        <v>150</v>
      </c>
      <c r="E182" s="309"/>
      <c r="F182" s="370"/>
      <c r="G182" s="370"/>
      <c r="H182" s="230"/>
      <c r="I182" s="230"/>
      <c r="J182" s="230"/>
      <c r="K182" s="3"/>
    </row>
    <row r="183" spans="1:11" x14ac:dyDescent="0.2">
      <c r="A183" s="310" t="s">
        <v>2286</v>
      </c>
      <c r="B183" s="310"/>
      <c r="C183" s="309"/>
      <c r="D183" s="309">
        <v>1020</v>
      </c>
      <c r="E183" s="309"/>
      <c r="F183" s="309"/>
      <c r="G183" s="309"/>
      <c r="H183" s="230"/>
      <c r="I183" s="230"/>
      <c r="J183" s="230"/>
      <c r="K183" s="3"/>
    </row>
    <row r="184" spans="1:11" x14ac:dyDescent="0.2">
      <c r="A184" s="310" t="s">
        <v>2180</v>
      </c>
      <c r="B184" s="310"/>
      <c r="C184" s="309"/>
      <c r="D184" s="309">
        <v>265</v>
      </c>
      <c r="E184" s="309"/>
      <c r="F184" s="309"/>
      <c r="G184" s="309"/>
      <c r="H184" s="230"/>
      <c r="I184" s="230"/>
      <c r="J184" s="230"/>
      <c r="K184" s="3"/>
    </row>
    <row r="185" spans="1:11" x14ac:dyDescent="0.2">
      <c r="A185" s="310" t="s">
        <v>2181</v>
      </c>
      <c r="B185" s="310"/>
      <c r="C185" s="309"/>
      <c r="D185" s="309">
        <v>4600</v>
      </c>
      <c r="E185" s="309"/>
      <c r="F185" s="309"/>
      <c r="G185" s="309"/>
      <c r="H185" s="230"/>
      <c r="I185" s="230"/>
      <c r="J185" s="230"/>
      <c r="K185" s="3"/>
    </row>
    <row r="186" spans="1:11" x14ac:dyDescent="0.2">
      <c r="A186" s="310" t="s">
        <v>745</v>
      </c>
      <c r="B186" s="310"/>
      <c r="C186" s="309"/>
      <c r="D186" s="309">
        <v>750</v>
      </c>
      <c r="E186" s="309"/>
      <c r="F186" s="309"/>
      <c r="G186" s="309"/>
      <c r="H186" s="230"/>
      <c r="I186" s="230"/>
      <c r="J186" s="230"/>
      <c r="K186" s="3"/>
    </row>
    <row r="187" spans="1:11" x14ac:dyDescent="0.2">
      <c r="A187" s="309" t="s">
        <v>1826</v>
      </c>
      <c r="B187" s="310"/>
      <c r="C187" s="309"/>
      <c r="D187" s="370">
        <v>950</v>
      </c>
      <c r="E187" s="309"/>
      <c r="F187" s="370"/>
      <c r="G187" s="370"/>
      <c r="H187" s="230"/>
      <c r="I187" s="230"/>
      <c r="J187" s="230"/>
      <c r="K187" s="3"/>
    </row>
    <row r="188" spans="1:11" x14ac:dyDescent="0.2">
      <c r="A188" s="309" t="s">
        <v>2030</v>
      </c>
      <c r="B188" s="310"/>
      <c r="C188" s="309"/>
      <c r="D188" s="370">
        <v>1400</v>
      </c>
      <c r="E188" s="309"/>
      <c r="F188" s="370"/>
      <c r="G188" s="370"/>
      <c r="H188" s="230"/>
      <c r="I188" s="230"/>
      <c r="J188" s="230"/>
      <c r="K188" s="3"/>
    </row>
    <row r="189" spans="1:11" x14ac:dyDescent="0.2">
      <c r="A189" s="309" t="s">
        <v>2115</v>
      </c>
      <c r="B189" s="310"/>
      <c r="C189" s="309"/>
      <c r="D189" s="370">
        <v>280</v>
      </c>
      <c r="E189" s="309"/>
      <c r="F189" s="370"/>
      <c r="G189" s="370"/>
      <c r="H189" s="230"/>
      <c r="I189" s="230"/>
      <c r="J189" s="230"/>
      <c r="K189" s="3"/>
    </row>
    <row r="190" spans="1:11" x14ac:dyDescent="0.2">
      <c r="A190" s="309" t="s">
        <v>2182</v>
      </c>
      <c r="B190" s="310"/>
      <c r="C190" s="309"/>
      <c r="D190" s="370">
        <v>2520</v>
      </c>
      <c r="E190" s="309"/>
      <c r="F190" s="370"/>
      <c r="G190" s="370"/>
      <c r="H190" s="230"/>
      <c r="I190" s="230"/>
      <c r="J190" s="230"/>
      <c r="K190" s="3"/>
    </row>
    <row r="191" spans="1:11" x14ac:dyDescent="0.2">
      <c r="A191" s="310" t="s">
        <v>461</v>
      </c>
      <c r="B191" s="310"/>
      <c r="C191" s="309"/>
      <c r="D191" s="309">
        <v>1</v>
      </c>
      <c r="E191" s="309"/>
      <c r="F191" s="309"/>
      <c r="G191" s="309"/>
      <c r="H191" s="230"/>
      <c r="I191" s="230"/>
      <c r="J191" s="230"/>
      <c r="K191" s="3"/>
    </row>
    <row r="192" spans="1:11" ht="15" x14ac:dyDescent="0.35">
      <c r="A192" s="310" t="s">
        <v>626</v>
      </c>
      <c r="B192" s="310"/>
      <c r="C192" s="313"/>
      <c r="D192" s="313">
        <v>1650</v>
      </c>
      <c r="E192" s="309"/>
      <c r="F192" s="309"/>
      <c r="G192" s="309"/>
      <c r="H192" s="230"/>
      <c r="I192" s="230"/>
      <c r="J192" s="230"/>
      <c r="K192" s="3"/>
    </row>
    <row r="193" spans="1:11" x14ac:dyDescent="0.2">
      <c r="A193" s="310" t="s">
        <v>1320</v>
      </c>
      <c r="B193" s="310"/>
      <c r="C193" s="309"/>
      <c r="D193" s="309">
        <f>SUM(D177:D192)</f>
        <v>14846</v>
      </c>
      <c r="E193" s="309"/>
      <c r="F193" s="309"/>
      <c r="G193" s="309"/>
      <c r="H193" s="230"/>
      <c r="I193" s="230"/>
      <c r="J193" s="230"/>
      <c r="K193" s="3"/>
    </row>
    <row r="194" spans="1:11" x14ac:dyDescent="0.2">
      <c r="A194" s="310"/>
      <c r="B194" s="310"/>
      <c r="C194" s="309"/>
      <c r="D194" s="309"/>
      <c r="E194" s="309"/>
      <c r="F194" s="309"/>
      <c r="G194" s="309"/>
      <c r="H194" s="230"/>
      <c r="I194" s="230"/>
      <c r="J194" s="230"/>
      <c r="K194" s="3"/>
    </row>
    <row r="195" spans="1:11" ht="13.5" x14ac:dyDescent="0.25">
      <c r="A195" s="307" t="s">
        <v>805</v>
      </c>
      <c r="B195" s="310"/>
      <c r="C195" s="309"/>
      <c r="D195" s="309"/>
      <c r="E195" s="309">
        <v>4660</v>
      </c>
      <c r="F195" s="324">
        <v>6200</v>
      </c>
      <c r="G195" s="324">
        <f>D201</f>
        <v>6200</v>
      </c>
      <c r="H195" s="230">
        <v>6200</v>
      </c>
      <c r="I195" s="230">
        <v>6200</v>
      </c>
      <c r="J195" s="230"/>
      <c r="K195" s="3"/>
    </row>
    <row r="196" spans="1:11" x14ac:dyDescent="0.2">
      <c r="A196" s="310" t="s">
        <v>833</v>
      </c>
      <c r="B196" s="310"/>
      <c r="C196" s="309"/>
      <c r="D196" s="309">
        <v>400</v>
      </c>
      <c r="E196" s="309"/>
      <c r="F196" s="309"/>
      <c r="G196" s="309"/>
      <c r="H196" s="230"/>
      <c r="I196" s="230"/>
      <c r="J196" s="230"/>
      <c r="K196" s="3"/>
    </row>
    <row r="197" spans="1:11" x14ac:dyDescent="0.2">
      <c r="A197" s="310" t="s">
        <v>421</v>
      </c>
      <c r="B197" s="310"/>
      <c r="C197" s="309"/>
      <c r="D197" s="309">
        <v>400</v>
      </c>
      <c r="E197" s="309"/>
      <c r="F197" s="309"/>
      <c r="G197" s="309"/>
      <c r="H197" s="230"/>
      <c r="I197" s="230"/>
      <c r="J197" s="230"/>
      <c r="K197" s="3"/>
    </row>
    <row r="198" spans="1:11" ht="15" x14ac:dyDescent="0.35">
      <c r="A198" s="310" t="s">
        <v>1418</v>
      </c>
      <c r="B198" s="310"/>
      <c r="C198" s="313"/>
      <c r="D198" s="309">
        <v>1400</v>
      </c>
      <c r="E198" s="309"/>
      <c r="F198" s="309"/>
      <c r="G198" s="309"/>
      <c r="H198" s="230"/>
      <c r="I198" s="230"/>
      <c r="J198" s="230"/>
      <c r="K198" s="3"/>
    </row>
    <row r="199" spans="1:11" ht="15" x14ac:dyDescent="0.35">
      <c r="A199" s="310" t="s">
        <v>2116</v>
      </c>
      <c r="B199" s="310"/>
      <c r="C199" s="313"/>
      <c r="D199" s="309">
        <v>1000</v>
      </c>
      <c r="E199" s="309" t="s">
        <v>418</v>
      </c>
      <c r="F199" s="309"/>
      <c r="G199" s="309"/>
      <c r="H199" s="230"/>
      <c r="I199" s="230"/>
      <c r="J199" s="230"/>
      <c r="K199" s="3"/>
    </row>
    <row r="200" spans="1:11" ht="15" x14ac:dyDescent="0.35">
      <c r="A200" s="310" t="s">
        <v>2550</v>
      </c>
      <c r="B200" s="310"/>
      <c r="C200" s="313"/>
      <c r="D200" s="313">
        <v>3000</v>
      </c>
      <c r="E200" s="309"/>
      <c r="F200" s="309"/>
      <c r="G200" s="309"/>
      <c r="H200" s="230"/>
      <c r="I200" s="230"/>
      <c r="J200" s="230"/>
      <c r="K200" s="3"/>
    </row>
    <row r="201" spans="1:11" x14ac:dyDescent="0.2">
      <c r="A201" s="310" t="s">
        <v>1320</v>
      </c>
      <c r="B201" s="310"/>
      <c r="C201" s="309"/>
      <c r="D201" s="309">
        <f>SUM(D196:D200)</f>
        <v>6200</v>
      </c>
      <c r="E201" s="309"/>
      <c r="F201" s="309"/>
      <c r="G201" s="309"/>
      <c r="H201" s="230"/>
      <c r="I201" s="230"/>
      <c r="J201" s="230"/>
      <c r="K201" s="3"/>
    </row>
    <row r="202" spans="1:11" x14ac:dyDescent="0.2">
      <c r="A202" s="310"/>
      <c r="B202" s="310"/>
      <c r="C202" s="309"/>
      <c r="D202" s="309"/>
      <c r="E202" s="309"/>
      <c r="F202" s="309"/>
      <c r="G202" s="309"/>
      <c r="H202" s="230"/>
      <c r="I202" s="230"/>
      <c r="J202" s="230"/>
      <c r="K202" s="3"/>
    </row>
    <row r="203" spans="1:11" ht="13.5" x14ac:dyDescent="0.25">
      <c r="A203" s="307" t="s">
        <v>1419</v>
      </c>
      <c r="B203" s="310"/>
      <c r="C203" s="309"/>
      <c r="D203" s="309"/>
      <c r="E203" s="309">
        <v>1582</v>
      </c>
      <c r="F203" s="309">
        <v>1500</v>
      </c>
      <c r="G203" s="309">
        <f>D204</f>
        <v>1500</v>
      </c>
      <c r="H203" s="230">
        <v>1500</v>
      </c>
      <c r="I203" s="230">
        <v>1500</v>
      </c>
      <c r="J203" s="230"/>
      <c r="K203" s="3"/>
    </row>
    <row r="204" spans="1:11" x14ac:dyDescent="0.2">
      <c r="A204" s="310" t="s">
        <v>1792</v>
      </c>
      <c r="B204" s="310"/>
      <c r="C204" s="309"/>
      <c r="D204" s="309">
        <v>1500</v>
      </c>
      <c r="E204" s="309"/>
      <c r="F204" s="309"/>
      <c r="G204" s="309"/>
      <c r="H204" s="230"/>
      <c r="I204" s="230"/>
      <c r="J204" s="230"/>
      <c r="K204" s="3"/>
    </row>
    <row r="205" spans="1:11" x14ac:dyDescent="0.2">
      <c r="A205" s="310"/>
      <c r="B205" s="310"/>
      <c r="C205" s="309"/>
      <c r="D205" s="309"/>
      <c r="E205" s="309"/>
      <c r="F205" s="309"/>
      <c r="G205" s="309"/>
      <c r="H205" s="230"/>
      <c r="I205" s="230"/>
      <c r="J205" s="230"/>
      <c r="K205" s="3"/>
    </row>
    <row r="206" spans="1:11" ht="13.5" x14ac:dyDescent="0.25">
      <c r="A206" s="307" t="s">
        <v>608</v>
      </c>
      <c r="B206" s="310"/>
      <c r="C206" s="309"/>
      <c r="D206" s="309"/>
      <c r="E206" s="309">
        <v>117827</v>
      </c>
      <c r="F206" s="309">
        <v>125058</v>
      </c>
      <c r="G206" s="309">
        <f>D231</f>
        <v>102958</v>
      </c>
      <c r="H206" s="230">
        <v>102958</v>
      </c>
      <c r="I206" s="230">
        <v>102958</v>
      </c>
      <c r="J206" s="230"/>
      <c r="K206" s="3"/>
    </row>
    <row r="207" spans="1:11" x14ac:dyDescent="0.2">
      <c r="A207" s="310" t="s">
        <v>1690</v>
      </c>
      <c r="B207" s="310"/>
      <c r="C207" s="309"/>
      <c r="D207" s="309">
        <v>11000</v>
      </c>
      <c r="E207" s="309" t="s">
        <v>418</v>
      </c>
      <c r="F207" s="309"/>
      <c r="G207" s="309"/>
      <c r="H207" s="230"/>
      <c r="I207" s="230"/>
      <c r="J207" s="230"/>
      <c r="K207" s="3"/>
    </row>
    <row r="208" spans="1:11" x14ac:dyDescent="0.2">
      <c r="A208" s="310" t="s">
        <v>1691</v>
      </c>
      <c r="B208" s="310"/>
      <c r="C208" s="309"/>
      <c r="D208" s="309">
        <v>8000</v>
      </c>
      <c r="E208" s="309"/>
      <c r="F208" s="309"/>
      <c r="G208" s="309"/>
      <c r="H208" s="230"/>
      <c r="I208" s="230"/>
      <c r="J208" s="230"/>
      <c r="K208" s="3"/>
    </row>
    <row r="209" spans="1:11" x14ac:dyDescent="0.2">
      <c r="A209" s="310" t="s">
        <v>2551</v>
      </c>
      <c r="B209" s="310"/>
      <c r="C209" s="309"/>
      <c r="D209" s="309">
        <v>1000</v>
      </c>
      <c r="E209" s="309"/>
      <c r="F209" s="309"/>
      <c r="G209" s="309"/>
      <c r="H209" s="230"/>
      <c r="I209" s="230"/>
      <c r="J209" s="230"/>
      <c r="K209" s="3"/>
    </row>
    <row r="210" spans="1:11" x14ac:dyDescent="0.2">
      <c r="A210" s="310" t="s">
        <v>2183</v>
      </c>
      <c r="B210" s="310"/>
      <c r="C210" s="309"/>
      <c r="D210" s="309">
        <v>3478</v>
      </c>
      <c r="E210" s="309"/>
      <c r="F210" s="309"/>
      <c r="G210" s="309"/>
      <c r="H210" s="230"/>
      <c r="I210" s="230"/>
      <c r="J210" s="230"/>
      <c r="K210" s="3"/>
    </row>
    <row r="211" spans="1:11" x14ac:dyDescent="0.2">
      <c r="A211" s="310" t="s">
        <v>2184</v>
      </c>
      <c r="B211" s="310"/>
      <c r="C211" s="309"/>
      <c r="D211" s="309">
        <v>1000</v>
      </c>
      <c r="E211" s="309"/>
      <c r="F211" s="309"/>
      <c r="G211" s="309"/>
      <c r="H211" s="230"/>
      <c r="I211" s="230"/>
      <c r="J211" s="230"/>
      <c r="K211" s="3"/>
    </row>
    <row r="212" spans="1:11" x14ac:dyDescent="0.2">
      <c r="A212" s="310" t="s">
        <v>271</v>
      </c>
      <c r="B212" s="310"/>
      <c r="C212" s="309"/>
      <c r="D212" s="309">
        <v>2500</v>
      </c>
      <c r="E212" s="309"/>
      <c r="F212" s="309"/>
      <c r="G212" s="309"/>
      <c r="H212" s="230"/>
      <c r="I212" s="230"/>
      <c r="J212" s="230"/>
      <c r="K212" s="3"/>
    </row>
    <row r="213" spans="1:11" x14ac:dyDescent="0.2">
      <c r="A213" s="310" t="s">
        <v>2552</v>
      </c>
      <c r="B213" s="310"/>
      <c r="C213" s="309"/>
      <c r="D213" s="309">
        <v>400</v>
      </c>
      <c r="E213" s="309"/>
      <c r="F213" s="309"/>
      <c r="G213" s="309"/>
      <c r="H213" s="230"/>
      <c r="I213" s="230"/>
      <c r="J213" s="230"/>
      <c r="K213" s="3"/>
    </row>
    <row r="214" spans="1:11" x14ac:dyDescent="0.2">
      <c r="A214" s="310" t="s">
        <v>1692</v>
      </c>
      <c r="B214" s="310"/>
      <c r="C214" s="309"/>
      <c r="D214" s="309">
        <v>3000</v>
      </c>
      <c r="E214" s="309"/>
      <c r="F214" s="309"/>
      <c r="G214" s="309"/>
      <c r="H214" s="230"/>
      <c r="I214" s="230"/>
      <c r="J214" s="230"/>
      <c r="K214" s="3"/>
    </row>
    <row r="215" spans="1:11" x14ac:dyDescent="0.2">
      <c r="A215" s="310" t="s">
        <v>2117</v>
      </c>
      <c r="B215" s="310"/>
      <c r="C215" s="309"/>
      <c r="D215" s="309">
        <v>4100</v>
      </c>
      <c r="E215" s="309"/>
      <c r="F215" s="309"/>
      <c r="G215" s="309"/>
      <c r="H215" s="230"/>
      <c r="I215" s="230"/>
      <c r="J215" s="230"/>
      <c r="K215" s="3"/>
    </row>
    <row r="216" spans="1:11" x14ac:dyDescent="0.2">
      <c r="A216" s="310" t="s">
        <v>1693</v>
      </c>
      <c r="B216" s="310"/>
      <c r="C216" s="309"/>
      <c r="D216" s="309">
        <v>2000</v>
      </c>
      <c r="E216" s="309"/>
      <c r="F216" s="309"/>
      <c r="G216" s="309"/>
      <c r="H216" s="230"/>
      <c r="I216" s="230"/>
      <c r="J216" s="230"/>
      <c r="K216" s="3"/>
    </row>
    <row r="217" spans="1:11" x14ac:dyDescent="0.2">
      <c r="A217" s="310" t="s">
        <v>1694</v>
      </c>
      <c r="B217" s="310"/>
      <c r="C217" s="309"/>
      <c r="D217" s="309">
        <v>500</v>
      </c>
      <c r="E217" s="309"/>
      <c r="F217" s="309"/>
      <c r="G217" s="309"/>
      <c r="H217" s="230"/>
      <c r="I217" s="230"/>
      <c r="J217" s="230"/>
      <c r="K217" s="3"/>
    </row>
    <row r="218" spans="1:11" x14ac:dyDescent="0.2">
      <c r="A218" s="310" t="s">
        <v>2185</v>
      </c>
      <c r="B218" s="310"/>
      <c r="C218" s="309"/>
      <c r="D218" s="309">
        <v>29000</v>
      </c>
      <c r="E218" s="309"/>
      <c r="F218" s="309"/>
      <c r="G218" s="309"/>
      <c r="H218" s="230"/>
      <c r="I218" s="230"/>
      <c r="J218" s="230"/>
      <c r="K218" s="3"/>
    </row>
    <row r="219" spans="1:11" x14ac:dyDescent="0.2">
      <c r="A219" s="310" t="s">
        <v>2186</v>
      </c>
      <c r="B219" s="310"/>
      <c r="C219" s="309"/>
      <c r="D219" s="309">
        <v>1500</v>
      </c>
      <c r="E219" s="309"/>
      <c r="F219" s="309"/>
      <c r="G219" s="309"/>
      <c r="H219" s="230"/>
      <c r="I219" s="230"/>
      <c r="J219" s="230"/>
      <c r="K219" s="3"/>
    </row>
    <row r="220" spans="1:11" x14ac:dyDescent="0.2">
      <c r="A220" s="463" t="s">
        <v>2187</v>
      </c>
      <c r="B220" s="310"/>
      <c r="C220" s="370"/>
      <c r="D220" s="309">
        <v>0</v>
      </c>
      <c r="E220" s="309"/>
      <c r="F220" s="309"/>
      <c r="G220" s="309"/>
      <c r="H220" s="230"/>
      <c r="I220" s="230"/>
      <c r="J220" s="230"/>
      <c r="K220" s="3"/>
    </row>
    <row r="221" spans="1:11" x14ac:dyDescent="0.2">
      <c r="A221" s="310" t="s">
        <v>2031</v>
      </c>
      <c r="B221" s="309"/>
      <c r="C221" s="309"/>
      <c r="D221" s="309">
        <v>5000</v>
      </c>
      <c r="E221" s="309"/>
      <c r="F221" s="309"/>
      <c r="G221" s="309"/>
      <c r="H221" s="230"/>
      <c r="I221" s="230"/>
      <c r="J221" s="230"/>
      <c r="K221" s="3"/>
    </row>
    <row r="222" spans="1:11" x14ac:dyDescent="0.2">
      <c r="A222" s="310" t="s">
        <v>1783</v>
      </c>
      <c r="B222" s="309"/>
      <c r="C222" s="309"/>
      <c r="D222" s="309">
        <v>7200</v>
      </c>
      <c r="E222" s="309"/>
      <c r="F222" s="309"/>
      <c r="G222" s="309"/>
      <c r="H222" s="230"/>
      <c r="I222" s="230"/>
      <c r="J222" s="230"/>
      <c r="K222" s="3"/>
    </row>
    <row r="223" spans="1:11" x14ac:dyDescent="0.2">
      <c r="A223" s="310" t="s">
        <v>834</v>
      </c>
      <c r="B223" s="309"/>
      <c r="C223" s="309"/>
      <c r="D223" s="309">
        <f>7080-2200</f>
        <v>4880</v>
      </c>
      <c r="E223" s="309"/>
      <c r="F223" s="309"/>
      <c r="G223" s="309"/>
      <c r="H223" s="230"/>
      <c r="I223" s="230"/>
      <c r="J223" s="230"/>
      <c r="K223" s="3"/>
    </row>
    <row r="224" spans="1:11" x14ac:dyDescent="0.2">
      <c r="A224" s="310" t="s">
        <v>2553</v>
      </c>
      <c r="B224" s="309"/>
      <c r="C224" s="309"/>
      <c r="D224" s="309">
        <v>2200</v>
      </c>
      <c r="E224" s="309"/>
      <c r="F224" s="309"/>
      <c r="G224" s="309"/>
      <c r="H224" s="230"/>
      <c r="I224" s="230"/>
      <c r="J224" s="230"/>
      <c r="K224" s="3"/>
    </row>
    <row r="225" spans="1:11" x14ac:dyDescent="0.2">
      <c r="A225" s="310" t="s">
        <v>1695</v>
      </c>
      <c r="B225" s="309"/>
      <c r="C225" s="309"/>
      <c r="D225" s="309">
        <v>300</v>
      </c>
      <c r="E225" s="309" t="s">
        <v>418</v>
      </c>
      <c r="F225" s="309"/>
      <c r="G225" s="309"/>
      <c r="H225" s="230"/>
      <c r="I225" s="230"/>
      <c r="J225" s="230"/>
      <c r="K225" s="3"/>
    </row>
    <row r="226" spans="1:11" x14ac:dyDescent="0.2">
      <c r="A226" s="310" t="s">
        <v>1696</v>
      </c>
      <c r="B226" s="309"/>
      <c r="C226" s="309"/>
      <c r="D226" s="309">
        <v>2000</v>
      </c>
      <c r="E226" s="309"/>
      <c r="F226" s="309"/>
      <c r="G226" s="309"/>
      <c r="H226" s="230"/>
      <c r="I226" s="230"/>
      <c r="J226" s="230"/>
      <c r="K226" s="3"/>
    </row>
    <row r="227" spans="1:11" x14ac:dyDescent="0.2">
      <c r="A227" s="310" t="s">
        <v>1961</v>
      </c>
      <c r="B227" s="309"/>
      <c r="C227" s="309"/>
      <c r="D227" s="309">
        <v>3000</v>
      </c>
      <c r="E227" s="309"/>
      <c r="F227" s="309"/>
      <c r="G227" s="309"/>
      <c r="H227" s="230"/>
      <c r="I227" s="230"/>
      <c r="J227" s="230"/>
      <c r="K227" s="3"/>
    </row>
    <row r="228" spans="1:11" ht="15" x14ac:dyDescent="0.35">
      <c r="A228" s="310" t="s">
        <v>1962</v>
      </c>
      <c r="B228" s="313"/>
      <c r="C228" s="313"/>
      <c r="D228" s="309">
        <v>4400</v>
      </c>
      <c r="E228" s="309" t="s">
        <v>418</v>
      </c>
      <c r="F228" s="309"/>
      <c r="G228" s="309"/>
      <c r="H228" s="230"/>
      <c r="I228" s="230"/>
      <c r="J228" s="230"/>
      <c r="K228" s="3"/>
    </row>
    <row r="229" spans="1:11" s="364" customFormat="1" ht="15" x14ac:dyDescent="0.35">
      <c r="A229" s="310" t="s">
        <v>2554</v>
      </c>
      <c r="B229" s="313"/>
      <c r="C229" s="313"/>
      <c r="D229" s="309">
        <v>5000</v>
      </c>
      <c r="E229" s="309"/>
      <c r="F229" s="309"/>
      <c r="G229" s="309"/>
      <c r="H229" s="230"/>
      <c r="I229" s="230"/>
      <c r="J229" s="230"/>
      <c r="K229" s="3"/>
    </row>
    <row r="230" spans="1:11" s="364" customFormat="1" ht="15" x14ac:dyDescent="0.35">
      <c r="A230" s="310" t="s">
        <v>2555</v>
      </c>
      <c r="B230" s="310" t="s">
        <v>418</v>
      </c>
      <c r="C230" s="313"/>
      <c r="D230" s="313">
        <v>1500</v>
      </c>
      <c r="E230" s="309"/>
      <c r="F230" s="309"/>
      <c r="G230" s="309"/>
      <c r="H230" s="230"/>
      <c r="I230" s="230"/>
      <c r="J230" s="230"/>
      <c r="K230" s="3"/>
    </row>
    <row r="231" spans="1:11" s="364" customFormat="1" x14ac:dyDescent="0.2">
      <c r="A231" s="310" t="s">
        <v>1612</v>
      </c>
      <c r="B231" s="310"/>
      <c r="C231" s="309"/>
      <c r="D231" s="309">
        <f>SUM(D207:D230)</f>
        <v>102958</v>
      </c>
      <c r="E231" s="309"/>
      <c r="F231" s="309"/>
      <c r="G231" s="309"/>
      <c r="H231" s="230"/>
      <c r="I231" s="230"/>
      <c r="J231" s="230"/>
      <c r="K231" s="3"/>
    </row>
    <row r="232" spans="1:11" x14ac:dyDescent="0.2">
      <c r="A232" s="310"/>
      <c r="B232" s="310"/>
      <c r="C232" s="309"/>
      <c r="D232" s="309"/>
      <c r="E232" s="309"/>
      <c r="F232" s="309"/>
      <c r="G232" s="309"/>
      <c r="H232" s="230"/>
      <c r="I232" s="230"/>
      <c r="J232" s="230"/>
      <c r="K232" s="3"/>
    </row>
    <row r="233" spans="1:11" ht="13.5" x14ac:dyDescent="0.25">
      <c r="A233" s="307" t="s">
        <v>2296</v>
      </c>
      <c r="B233" s="310"/>
      <c r="C233" s="309"/>
      <c r="D233" s="309"/>
      <c r="E233" s="309"/>
      <c r="F233" s="309"/>
      <c r="G233" s="309"/>
      <c r="H233" s="230"/>
      <c r="I233" s="230"/>
      <c r="J233" s="230"/>
      <c r="K233" s="3"/>
    </row>
    <row r="234" spans="1:11" x14ac:dyDescent="0.2">
      <c r="A234" s="310"/>
      <c r="B234" s="310"/>
      <c r="C234" s="309"/>
      <c r="D234" s="309">
        <v>0</v>
      </c>
      <c r="E234" s="309">
        <v>0</v>
      </c>
      <c r="F234" s="309">
        <v>0</v>
      </c>
      <c r="G234" s="309">
        <v>0</v>
      </c>
      <c r="H234" s="230">
        <v>0</v>
      </c>
      <c r="I234" s="230">
        <v>0</v>
      </c>
      <c r="J234" s="230"/>
      <c r="K234" s="3"/>
    </row>
    <row r="235" spans="1:11" x14ac:dyDescent="0.2">
      <c r="A235" s="310"/>
      <c r="B235" s="310"/>
      <c r="C235" s="309"/>
      <c r="D235" s="309"/>
      <c r="E235" s="309"/>
      <c r="F235" s="309"/>
      <c r="G235" s="309"/>
      <c r="H235" s="230"/>
      <c r="I235" s="230"/>
      <c r="J235" s="230"/>
      <c r="K235" s="3"/>
    </row>
    <row r="236" spans="1:11" ht="13.5" x14ac:dyDescent="0.25">
      <c r="A236" s="307" t="s">
        <v>273</v>
      </c>
      <c r="B236" s="310"/>
      <c r="C236" s="309"/>
      <c r="D236" s="309"/>
      <c r="E236" s="309"/>
      <c r="F236" s="309"/>
      <c r="G236" s="309"/>
      <c r="H236" s="230"/>
      <c r="I236" s="230"/>
      <c r="J236" s="230"/>
      <c r="K236" s="3"/>
    </row>
    <row r="237" spans="1:11" s="415" customFormat="1" x14ac:dyDescent="0.2">
      <c r="A237" s="310" t="s">
        <v>118</v>
      </c>
      <c r="B237" s="310"/>
      <c r="C237" s="309"/>
      <c r="D237" s="309">
        <v>0</v>
      </c>
      <c r="E237" s="309">
        <v>0</v>
      </c>
      <c r="F237" s="309">
        <v>0</v>
      </c>
      <c r="G237" s="309">
        <v>0</v>
      </c>
      <c r="H237" s="230">
        <v>0</v>
      </c>
      <c r="I237" s="230">
        <v>0</v>
      </c>
      <c r="J237" s="230"/>
      <c r="K237" s="3"/>
    </row>
    <row r="238" spans="1:11" s="415" customFormat="1" x14ac:dyDescent="0.2">
      <c r="A238" s="310"/>
      <c r="B238" s="310"/>
      <c r="C238" s="309"/>
      <c r="D238" s="309"/>
      <c r="E238" s="309"/>
      <c r="F238" s="309"/>
      <c r="G238" s="309"/>
      <c r="H238" s="230"/>
      <c r="I238" s="230"/>
      <c r="J238" s="230"/>
      <c r="K238" s="3"/>
    </row>
    <row r="239" spans="1:11" s="415" customFormat="1" ht="13.5" x14ac:dyDescent="0.25">
      <c r="A239" s="307" t="s">
        <v>466</v>
      </c>
      <c r="B239" s="310"/>
      <c r="C239" s="309"/>
      <c r="D239" s="309"/>
      <c r="E239" s="309">
        <v>7020</v>
      </c>
      <c r="F239" s="309">
        <v>2000</v>
      </c>
      <c r="G239" s="309">
        <f>D240</f>
        <v>3500</v>
      </c>
      <c r="H239" s="230">
        <v>3500</v>
      </c>
      <c r="I239" s="230">
        <v>3500</v>
      </c>
      <c r="J239" s="230"/>
      <c r="K239" s="3"/>
    </row>
    <row r="240" spans="1:11" s="415" customFormat="1" x14ac:dyDescent="0.2">
      <c r="A240" s="310" t="s">
        <v>265</v>
      </c>
      <c r="B240" s="310"/>
      <c r="C240" s="309"/>
      <c r="D240" s="309">
        <v>3500</v>
      </c>
      <c r="E240" s="309"/>
      <c r="F240" s="309"/>
      <c r="G240" s="311"/>
      <c r="H240" s="453"/>
      <c r="I240" s="557"/>
      <c r="J240" s="557"/>
      <c r="K240" s="3"/>
    </row>
    <row r="241" spans="1:11" s="415" customFormat="1" x14ac:dyDescent="0.2">
      <c r="A241" s="310"/>
      <c r="B241" s="310"/>
      <c r="C241" s="309"/>
      <c r="D241" s="309"/>
      <c r="E241" s="309"/>
      <c r="F241" s="309"/>
      <c r="G241" s="311"/>
      <c r="H241" s="453"/>
      <c r="I241" s="557"/>
      <c r="J241" s="557"/>
      <c r="K241" s="3"/>
    </row>
    <row r="242" spans="1:11" ht="13.5" x14ac:dyDescent="0.25">
      <c r="A242" s="307" t="s">
        <v>1431</v>
      </c>
      <c r="B242" s="309"/>
      <c r="C242" s="309"/>
      <c r="D242" s="309"/>
      <c r="E242" s="309"/>
      <c r="F242" s="309"/>
      <c r="G242" s="311"/>
      <c r="H242" s="453"/>
      <c r="I242" s="557"/>
      <c r="J242" s="557"/>
      <c r="K242" s="3"/>
    </row>
    <row r="243" spans="1:11" x14ac:dyDescent="0.2">
      <c r="A243" s="310" t="s">
        <v>51</v>
      </c>
      <c r="B243" s="309"/>
      <c r="C243" s="309" t="s">
        <v>418</v>
      </c>
      <c r="D243" s="309">
        <v>75000</v>
      </c>
      <c r="E243" s="309">
        <v>75000</v>
      </c>
      <c r="F243" s="309">
        <v>75000</v>
      </c>
      <c r="G243" s="309">
        <v>75000</v>
      </c>
      <c r="H243" s="309">
        <v>75000</v>
      </c>
      <c r="I243" s="309">
        <v>75000</v>
      </c>
      <c r="J243" s="309"/>
      <c r="K243" s="3"/>
    </row>
    <row r="244" spans="1:11" s="453" customFormat="1" x14ac:dyDescent="0.2">
      <c r="A244" s="310"/>
      <c r="B244" s="310"/>
      <c r="C244" s="309"/>
      <c r="D244" s="309"/>
      <c r="E244" s="309"/>
      <c r="F244" s="309"/>
      <c r="G244" s="311"/>
      <c r="J244" s="327"/>
      <c r="K244" s="3"/>
    </row>
    <row r="245" spans="1:11" s="453" customFormat="1" x14ac:dyDescent="0.2">
      <c r="A245" s="310"/>
      <c r="B245" s="310"/>
      <c r="C245" s="309"/>
      <c r="D245" s="309"/>
      <c r="E245" s="309"/>
      <c r="F245" s="309"/>
      <c r="G245" s="311"/>
      <c r="J245" s="327"/>
      <c r="K245" s="3"/>
    </row>
    <row r="246" spans="1:11" s="453" customFormat="1" x14ac:dyDescent="0.2">
      <c r="A246" s="310"/>
      <c r="B246" s="310"/>
      <c r="C246" s="309"/>
      <c r="D246" s="309"/>
      <c r="E246" s="309"/>
      <c r="F246" s="309"/>
      <c r="G246" s="311"/>
      <c r="J246" s="327"/>
      <c r="K246" s="3"/>
    </row>
    <row r="247" spans="1:11" s="453" customFormat="1" x14ac:dyDescent="0.2">
      <c r="A247" s="310"/>
      <c r="B247" s="309"/>
      <c r="C247" s="309"/>
      <c r="D247" s="309"/>
      <c r="E247" s="325"/>
      <c r="F247" s="326"/>
      <c r="G247" s="467"/>
      <c r="H247" s="511"/>
      <c r="I247" s="511"/>
      <c r="J247" s="326"/>
      <c r="K247" s="3"/>
    </row>
    <row r="248" spans="1:11" x14ac:dyDescent="0.2">
      <c r="A248" s="310" t="s">
        <v>2118</v>
      </c>
      <c r="B248" s="310"/>
      <c r="C248" s="309"/>
      <c r="D248" s="309"/>
      <c r="E248" s="309">
        <f>SUM(E6:E246)</f>
        <v>1160030</v>
      </c>
      <c r="F248" s="309">
        <f>SUM(F6:F246)</f>
        <v>1222728</v>
      </c>
      <c r="G248" s="309">
        <f>SUM(G6:G246)</f>
        <v>1259210.897280232</v>
      </c>
      <c r="H248" s="309">
        <f>SUM(H6:H246)</f>
        <v>1259212</v>
      </c>
      <c r="I248" s="309">
        <f>SUM(I6:I244)</f>
        <v>1259212</v>
      </c>
      <c r="J248" s="309">
        <f>SUM(J6:J244)</f>
        <v>0</v>
      </c>
      <c r="K248" s="3"/>
    </row>
    <row r="249" spans="1:11" x14ac:dyDescent="0.2">
      <c r="A249" s="328" t="s">
        <v>1428</v>
      </c>
      <c r="B249" s="310"/>
      <c r="C249" s="309"/>
      <c r="D249" s="309"/>
      <c r="E249" s="309">
        <v>12000</v>
      </c>
      <c r="F249" s="309">
        <v>12000</v>
      </c>
      <c r="G249" s="309">
        <v>12000</v>
      </c>
      <c r="H249" s="309">
        <v>12000</v>
      </c>
      <c r="I249" s="309">
        <v>12000</v>
      </c>
      <c r="J249" s="309">
        <v>0</v>
      </c>
      <c r="K249" s="3"/>
    </row>
    <row r="250" spans="1:11" ht="15" x14ac:dyDescent="0.35">
      <c r="A250" s="310" t="s">
        <v>1745</v>
      </c>
      <c r="B250" s="310"/>
      <c r="C250" s="309"/>
      <c r="D250" s="309"/>
      <c r="E250" s="313"/>
      <c r="F250" s="313"/>
      <c r="G250" s="313"/>
      <c r="H250" s="313"/>
      <c r="I250" s="313"/>
      <c r="J250" s="313"/>
      <c r="K250" s="3"/>
    </row>
    <row r="251" spans="1:11" x14ac:dyDescent="0.2">
      <c r="A251" s="310"/>
      <c r="B251" s="310"/>
      <c r="C251" s="309"/>
      <c r="D251" s="309"/>
      <c r="E251" s="309"/>
      <c r="F251" s="309"/>
      <c r="G251" s="309"/>
      <c r="H251" s="309"/>
      <c r="I251" s="309"/>
      <c r="J251" s="309"/>
      <c r="K251" s="3"/>
    </row>
    <row r="252" spans="1:11" x14ac:dyDescent="0.2">
      <c r="A252" s="310" t="s">
        <v>1427</v>
      </c>
      <c r="B252" s="310"/>
      <c r="C252" s="309"/>
      <c r="D252" s="309"/>
      <c r="E252" s="309">
        <f>+E248-E253+E250</f>
        <v>1148030</v>
      </c>
      <c r="F252" s="309">
        <f>+F248-F253+F250</f>
        <v>1210728</v>
      </c>
      <c r="G252" s="309">
        <f t="shared" ref="G252:J252" si="4">+G248-G253+G250</f>
        <v>1247210.897280232</v>
      </c>
      <c r="H252" s="309">
        <v>1172210.897280232</v>
      </c>
      <c r="I252" s="309">
        <f>+I248-I253+I250</f>
        <v>1247212</v>
      </c>
      <c r="J252" s="309">
        <f t="shared" si="4"/>
        <v>0</v>
      </c>
      <c r="K252" s="3"/>
    </row>
    <row r="253" spans="1:11" x14ac:dyDescent="0.2">
      <c r="A253" s="310" t="s">
        <v>1428</v>
      </c>
      <c r="B253" s="310"/>
      <c r="C253" s="309"/>
      <c r="D253" s="309"/>
      <c r="E253" s="309">
        <f>SUM(E249:E249)</f>
        <v>12000</v>
      </c>
      <c r="F253" s="309">
        <v>12000</v>
      </c>
      <c r="G253" s="309">
        <v>12000</v>
      </c>
      <c r="H253" s="309">
        <v>12000</v>
      </c>
      <c r="I253" s="309">
        <v>12000</v>
      </c>
      <c r="J253" s="309">
        <v>0</v>
      </c>
      <c r="K253" s="3"/>
    </row>
    <row r="254" spans="1:11" x14ac:dyDescent="0.2">
      <c r="A254" s="310"/>
      <c r="B254" s="310"/>
      <c r="C254" s="310"/>
      <c r="D254" s="310"/>
      <c r="E254" s="310"/>
      <c r="F254" s="310"/>
      <c r="G254" s="309"/>
      <c r="H254" s="309"/>
      <c r="I254" s="309"/>
      <c r="J254" s="309"/>
      <c r="K254" s="3"/>
    </row>
    <row r="255" spans="1:11" x14ac:dyDescent="0.2">
      <c r="A255" s="310" t="s">
        <v>628</v>
      </c>
      <c r="B255" s="310"/>
      <c r="C255" s="310"/>
      <c r="D255" s="310"/>
      <c r="E255" s="309">
        <f>SUM(E6:E89)</f>
        <v>790148</v>
      </c>
      <c r="F255" s="309">
        <f>SUM(F6:F91)</f>
        <v>871904</v>
      </c>
      <c r="G255" s="309">
        <f>SUM(G6:G91)</f>
        <v>922175.89728023205</v>
      </c>
      <c r="H255" s="309">
        <f>SUM(H6:H91)</f>
        <v>922177</v>
      </c>
      <c r="I255" s="309">
        <f>SUM(I6:I92)</f>
        <v>922177</v>
      </c>
      <c r="J255" s="309">
        <f>SUM(J6:J92)</f>
        <v>0</v>
      </c>
      <c r="K255" s="3"/>
    </row>
    <row r="256" spans="1:11" x14ac:dyDescent="0.2">
      <c r="A256" s="310" t="s">
        <v>1024</v>
      </c>
      <c r="B256" s="310"/>
      <c r="C256" s="310"/>
      <c r="D256" s="310"/>
      <c r="E256" s="309">
        <f>SUM(E92:E230)</f>
        <v>287862</v>
      </c>
      <c r="F256" s="309">
        <f>SUM(F92:F230)</f>
        <v>273824</v>
      </c>
      <c r="G256" s="309">
        <f>SUM(G92:G230)</f>
        <v>258535</v>
      </c>
      <c r="H256" s="309">
        <f>SUM(H92:H230)</f>
        <v>258535</v>
      </c>
      <c r="I256" s="309">
        <f>SUM(I92:I230)</f>
        <v>258535</v>
      </c>
      <c r="J256" s="309">
        <f>SUM(J93:J227)</f>
        <v>0</v>
      </c>
      <c r="K256" s="3"/>
    </row>
    <row r="257" spans="1:11" ht="15" x14ac:dyDescent="0.35">
      <c r="A257" s="310" t="s">
        <v>1025</v>
      </c>
      <c r="B257" s="310"/>
      <c r="C257" s="310"/>
      <c r="D257" s="310"/>
      <c r="E257" s="313">
        <f>SUM(E233:E245)</f>
        <v>82020</v>
      </c>
      <c r="F257" s="313">
        <f>SUM(F232:F246)</f>
        <v>77000</v>
      </c>
      <c r="G257" s="313">
        <f>SUM(G232:G246)</f>
        <v>78500</v>
      </c>
      <c r="H257" s="313">
        <f>SUM(H232:H246)</f>
        <v>78500</v>
      </c>
      <c r="I257" s="313">
        <f>SUM(I232:I245)</f>
        <v>78500</v>
      </c>
      <c r="J257" s="313">
        <f>SUM(J232:J245)</f>
        <v>0</v>
      </c>
      <c r="K257" s="3"/>
    </row>
    <row r="258" spans="1:11" x14ac:dyDescent="0.2">
      <c r="A258" s="328" t="s">
        <v>1612</v>
      </c>
      <c r="B258" s="328"/>
      <c r="C258" s="328"/>
      <c r="D258" s="328"/>
      <c r="E258" s="327">
        <f t="shared" ref="E258:J258" si="5">SUM(E255:E257)</f>
        <v>1160030</v>
      </c>
      <c r="F258" s="327">
        <f t="shared" si="5"/>
        <v>1222728</v>
      </c>
      <c r="G258" s="327">
        <f t="shared" si="5"/>
        <v>1259210.897280232</v>
      </c>
      <c r="H258" s="327">
        <f>SUM(H255:H257)</f>
        <v>1259212</v>
      </c>
      <c r="I258" s="327">
        <f>SUM(I255:I257)</f>
        <v>1259212</v>
      </c>
      <c r="J258" s="327">
        <f t="shared" si="5"/>
        <v>0</v>
      </c>
      <c r="K258" s="3"/>
    </row>
    <row r="259" spans="1:11" x14ac:dyDescent="0.2">
      <c r="A259" s="111"/>
      <c r="B259" s="111"/>
      <c r="C259" s="111"/>
      <c r="D259" s="111"/>
      <c r="E259" s="111"/>
      <c r="F259" s="111"/>
      <c r="G259" s="110"/>
      <c r="H259" s="110"/>
      <c r="I259" s="110"/>
      <c r="J259" s="110"/>
      <c r="K259" s="3"/>
    </row>
    <row r="260" spans="1:11" x14ac:dyDescent="0.2">
      <c r="A260" s="60"/>
      <c r="B260" s="60"/>
      <c r="C260" s="60"/>
      <c r="H260" s="395"/>
      <c r="I260" s="413"/>
      <c r="K260" s="3"/>
    </row>
    <row r="261" spans="1:11" x14ac:dyDescent="0.2">
      <c r="A261" s="60"/>
      <c r="B261" s="60"/>
      <c r="C261" s="60"/>
      <c r="H261" s="395"/>
      <c r="I261" s="413"/>
      <c r="K261" s="3"/>
    </row>
    <row r="262" spans="1:11" x14ac:dyDescent="0.2">
      <c r="A262" s="60"/>
      <c r="B262" s="60"/>
      <c r="C262" s="60"/>
      <c r="H262" s="395"/>
      <c r="I262" s="413"/>
    </row>
    <row r="263" spans="1:11" x14ac:dyDescent="0.2">
      <c r="A263" s="60"/>
      <c r="B263" s="60"/>
      <c r="C263" s="60"/>
      <c r="H263" s="395"/>
      <c r="I263" s="413"/>
    </row>
    <row r="264" spans="1:11" x14ac:dyDescent="0.2">
      <c r="A264" s="60"/>
      <c r="B264" s="60"/>
      <c r="C264" s="60"/>
      <c r="H264" s="395"/>
      <c r="I264" s="413"/>
    </row>
    <row r="265" spans="1:11" x14ac:dyDescent="0.2">
      <c r="A265" s="60"/>
      <c r="B265" s="60"/>
      <c r="C265" s="60"/>
      <c r="H265" s="395"/>
      <c r="I265" s="413"/>
    </row>
    <row r="266" spans="1:11" x14ac:dyDescent="0.2">
      <c r="A266" s="60"/>
      <c r="B266" s="60"/>
      <c r="C266" s="60"/>
      <c r="H266" s="395"/>
      <c r="I266" s="413"/>
    </row>
    <row r="267" spans="1:11" x14ac:dyDescent="0.2">
      <c r="A267" s="60"/>
      <c r="B267" s="60"/>
      <c r="C267" s="60"/>
      <c r="H267" s="395"/>
      <c r="I267" s="413"/>
    </row>
    <row r="268" spans="1:11" x14ac:dyDescent="0.2">
      <c r="A268" s="60"/>
      <c r="B268" s="60"/>
      <c r="C268" s="60"/>
      <c r="H268" s="395"/>
      <c r="I268" s="413"/>
    </row>
    <row r="269" spans="1:11" x14ac:dyDescent="0.2">
      <c r="A269" s="60"/>
      <c r="B269" s="60"/>
      <c r="C269" s="60"/>
      <c r="H269" s="395"/>
      <c r="I269" s="413"/>
    </row>
    <row r="270" spans="1:11" x14ac:dyDescent="0.2">
      <c r="A270" s="60"/>
      <c r="B270" s="60"/>
      <c r="C270" s="60"/>
      <c r="H270" s="395"/>
      <c r="I270" s="413"/>
    </row>
    <row r="271" spans="1:11" x14ac:dyDescent="0.2">
      <c r="A271" s="60"/>
      <c r="B271" s="60"/>
      <c r="C271" s="60"/>
      <c r="H271" s="395"/>
      <c r="I271" s="413"/>
    </row>
    <row r="272" spans="1:11" x14ac:dyDescent="0.2">
      <c r="A272" s="60"/>
      <c r="B272" s="60"/>
      <c r="C272" s="60"/>
      <c r="D272" s="60"/>
      <c r="E272" s="60"/>
      <c r="H272" s="395"/>
      <c r="I272" s="413"/>
    </row>
    <row r="273" spans="1:9" x14ac:dyDescent="0.2">
      <c r="A273" s="60"/>
      <c r="B273" s="60"/>
      <c r="C273" s="60"/>
      <c r="D273" s="60"/>
      <c r="E273" s="60"/>
      <c r="H273" s="395"/>
      <c r="I273" s="413"/>
    </row>
    <row r="274" spans="1:9" x14ac:dyDescent="0.2">
      <c r="A274" s="60"/>
      <c r="B274" s="60"/>
      <c r="C274" s="60"/>
      <c r="D274" s="60"/>
      <c r="E274" s="60"/>
      <c r="H274" s="395"/>
      <c r="I274" s="413"/>
    </row>
    <row r="275" spans="1:9" x14ac:dyDescent="0.2">
      <c r="A275" s="60"/>
      <c r="B275" s="60"/>
      <c r="C275" s="60"/>
      <c r="D275" s="60"/>
      <c r="E275" s="60"/>
      <c r="H275" s="395"/>
      <c r="I275" s="413"/>
    </row>
    <row r="276" spans="1:9" ht="12.6" customHeight="1" x14ac:dyDescent="0.2">
      <c r="A276" s="60"/>
      <c r="B276" s="60"/>
      <c r="C276" s="60"/>
      <c r="D276" s="60"/>
      <c r="E276" s="60"/>
      <c r="H276" s="395"/>
      <c r="I276" s="413"/>
    </row>
    <row r="277" spans="1:9" x14ac:dyDescent="0.2">
      <c r="H277" s="395"/>
      <c r="I277" s="413"/>
    </row>
    <row r="278" spans="1:9" x14ac:dyDescent="0.2">
      <c r="H278" s="395"/>
      <c r="I278" s="413"/>
    </row>
    <row r="279" spans="1:9" x14ac:dyDescent="0.2">
      <c r="H279" s="395"/>
      <c r="I279" s="413"/>
    </row>
    <row r="280" spans="1:9" x14ac:dyDescent="0.2">
      <c r="H280" s="395"/>
      <c r="I280" s="413"/>
    </row>
    <row r="281" spans="1:9" x14ac:dyDescent="0.2">
      <c r="H281" s="395"/>
      <c r="I281" s="413"/>
    </row>
    <row r="282" spans="1:9" x14ac:dyDescent="0.2">
      <c r="H282" s="395"/>
      <c r="I282" s="413"/>
    </row>
    <row r="283" spans="1:9" x14ac:dyDescent="0.2">
      <c r="H283" s="395"/>
      <c r="I283" s="413"/>
    </row>
    <row r="284" spans="1:9" x14ac:dyDescent="0.2">
      <c r="H284" s="395"/>
      <c r="I284" s="413"/>
    </row>
    <row r="285" spans="1:9" x14ac:dyDescent="0.2">
      <c r="H285" s="395"/>
      <c r="I285" s="413"/>
    </row>
    <row r="286" spans="1:9" x14ac:dyDescent="0.2">
      <c r="H286" s="395"/>
      <c r="I286" s="413"/>
    </row>
    <row r="287" spans="1:9" x14ac:dyDescent="0.2">
      <c r="H287" s="395"/>
      <c r="I287" s="413"/>
    </row>
    <row r="288" spans="1:9" x14ac:dyDescent="0.2">
      <c r="H288" s="395"/>
      <c r="I288" s="413"/>
    </row>
    <row r="289" spans="8:9" x14ac:dyDescent="0.2">
      <c r="H289" s="395"/>
      <c r="I289" s="413"/>
    </row>
    <row r="290" spans="8:9" x14ac:dyDescent="0.2">
      <c r="H290" s="395"/>
      <c r="I290" s="413"/>
    </row>
    <row r="291" spans="8:9" x14ac:dyDescent="0.2">
      <c r="H291" s="395"/>
      <c r="I291" s="413"/>
    </row>
    <row r="292" spans="8:9" x14ac:dyDescent="0.2">
      <c r="H292" s="395"/>
      <c r="I292" s="413"/>
    </row>
    <row r="293" spans="8:9" x14ac:dyDescent="0.2">
      <c r="H293" s="395"/>
      <c r="I293" s="413"/>
    </row>
    <row r="294" spans="8:9" x14ac:dyDescent="0.2">
      <c r="H294" s="395"/>
      <c r="I294" s="413"/>
    </row>
    <row r="295" spans="8:9" x14ac:dyDescent="0.2">
      <c r="H295" s="395"/>
      <c r="I295" s="413"/>
    </row>
    <row r="296" spans="8:9" x14ac:dyDescent="0.2">
      <c r="H296" s="395"/>
      <c r="I296" s="413"/>
    </row>
    <row r="297" spans="8:9" x14ac:dyDescent="0.2">
      <c r="H297" s="395"/>
      <c r="I297" s="413"/>
    </row>
    <row r="298" spans="8:9" x14ac:dyDescent="0.2">
      <c r="H298" s="395"/>
      <c r="I298" s="413"/>
    </row>
    <row r="299" spans="8:9" x14ac:dyDescent="0.2">
      <c r="I299" s="3"/>
    </row>
    <row r="300" spans="8:9" x14ac:dyDescent="0.2">
      <c r="I300" s="3"/>
    </row>
    <row r="301" spans="8:9" x14ac:dyDescent="0.2">
      <c r="I301" s="3"/>
    </row>
    <row r="302" spans="8:9" x14ac:dyDescent="0.2">
      <c r="I302" s="3"/>
    </row>
    <row r="303" spans="8:9" x14ac:dyDescent="0.2">
      <c r="I303" s="3"/>
    </row>
    <row r="304" spans="8:9" x14ac:dyDescent="0.2">
      <c r="I304" s="3"/>
    </row>
    <row r="305" spans="9:9" x14ac:dyDescent="0.2">
      <c r="I305" s="3"/>
    </row>
    <row r="306" spans="9:9" x14ac:dyDescent="0.2">
      <c r="I306" s="3"/>
    </row>
    <row r="307" spans="9:9" x14ac:dyDescent="0.2">
      <c r="I307" s="3"/>
    </row>
    <row r="308" spans="9:9" x14ac:dyDescent="0.2">
      <c r="I308" s="3"/>
    </row>
    <row r="309" spans="9:9" x14ac:dyDescent="0.2">
      <c r="I309" s="3"/>
    </row>
    <row r="310" spans="9:9" x14ac:dyDescent="0.2">
      <c r="I310" s="3"/>
    </row>
    <row r="311" spans="9:9" x14ac:dyDescent="0.2">
      <c r="I311" s="3"/>
    </row>
    <row r="312" spans="9:9" x14ac:dyDescent="0.2">
      <c r="I312" s="3"/>
    </row>
    <row r="313" spans="9:9" x14ac:dyDescent="0.2">
      <c r="I313" s="3"/>
    </row>
    <row r="314" spans="9:9" x14ac:dyDescent="0.2">
      <c r="I314" s="3"/>
    </row>
    <row r="315" spans="9:9" x14ac:dyDescent="0.2">
      <c r="I315" s="3"/>
    </row>
    <row r="316" spans="9:9" x14ac:dyDescent="0.2">
      <c r="I316" s="3"/>
    </row>
    <row r="317" spans="9:9" x14ac:dyDescent="0.2">
      <c r="I317" s="3"/>
    </row>
    <row r="318" spans="9:9" x14ac:dyDescent="0.2">
      <c r="I318" s="3"/>
    </row>
    <row r="319" spans="9:9" x14ac:dyDescent="0.2">
      <c r="I319" s="3"/>
    </row>
    <row r="320" spans="9:9" x14ac:dyDescent="0.2">
      <c r="I320" s="3"/>
    </row>
    <row r="321" spans="9:9" x14ac:dyDescent="0.2">
      <c r="I321" s="3"/>
    </row>
    <row r="322" spans="9:9" x14ac:dyDescent="0.2">
      <c r="I322" s="3"/>
    </row>
    <row r="323" spans="9:9" x14ac:dyDescent="0.2">
      <c r="I323" s="3"/>
    </row>
    <row r="324" spans="9:9" x14ac:dyDescent="0.2">
      <c r="I324" s="3"/>
    </row>
    <row r="325" spans="9:9" x14ac:dyDescent="0.2">
      <c r="I325" s="3"/>
    </row>
    <row r="326" spans="9:9" x14ac:dyDescent="0.2">
      <c r="I326" s="3"/>
    </row>
    <row r="327" spans="9:9" x14ac:dyDescent="0.2">
      <c r="I327" s="3"/>
    </row>
    <row r="328" spans="9:9" x14ac:dyDescent="0.2">
      <c r="I328" s="3"/>
    </row>
    <row r="329" spans="9:9" x14ac:dyDescent="0.2">
      <c r="I329" s="3"/>
    </row>
    <row r="330" spans="9:9" x14ac:dyDescent="0.2">
      <c r="I330" s="3"/>
    </row>
    <row r="331" spans="9:9" x14ac:dyDescent="0.2">
      <c r="I331" s="3"/>
    </row>
    <row r="332" spans="9:9" x14ac:dyDescent="0.2">
      <c r="I332" s="3"/>
    </row>
    <row r="333" spans="9:9" x14ac:dyDescent="0.2">
      <c r="I333" s="3"/>
    </row>
    <row r="334" spans="9:9" x14ac:dyDescent="0.2">
      <c r="I334" s="3"/>
    </row>
    <row r="335" spans="9:9" x14ac:dyDescent="0.2">
      <c r="I335" s="3"/>
    </row>
    <row r="336" spans="9:9" x14ac:dyDescent="0.2">
      <c r="I336" s="3"/>
    </row>
    <row r="337" spans="9:9" x14ac:dyDescent="0.2">
      <c r="I337" s="3"/>
    </row>
    <row r="338" spans="9:9" x14ac:dyDescent="0.2">
      <c r="I338" s="3"/>
    </row>
    <row r="339" spans="9:9" x14ac:dyDescent="0.2">
      <c r="I339" s="3"/>
    </row>
    <row r="340" spans="9:9" x14ac:dyDescent="0.2">
      <c r="I340" s="3"/>
    </row>
    <row r="341" spans="9:9" x14ac:dyDescent="0.2">
      <c r="I341" s="3"/>
    </row>
    <row r="342" spans="9:9" x14ac:dyDescent="0.2">
      <c r="I342" s="3"/>
    </row>
    <row r="343" spans="9:9" x14ac:dyDescent="0.2">
      <c r="I343" s="3"/>
    </row>
    <row r="344" spans="9:9" x14ac:dyDescent="0.2">
      <c r="I344" s="3"/>
    </row>
    <row r="345" spans="9:9" x14ac:dyDescent="0.2">
      <c r="I345" s="3"/>
    </row>
    <row r="346" spans="9:9" x14ac:dyDescent="0.2">
      <c r="I346" s="3"/>
    </row>
    <row r="347" spans="9:9" x14ac:dyDescent="0.2">
      <c r="I347" s="3"/>
    </row>
    <row r="348" spans="9:9" x14ac:dyDescent="0.2">
      <c r="I348" s="3"/>
    </row>
    <row r="349" spans="9:9" x14ac:dyDescent="0.2">
      <c r="I349" s="3"/>
    </row>
    <row r="350" spans="9:9" x14ac:dyDescent="0.2">
      <c r="I350" s="3"/>
    </row>
    <row r="351" spans="9:9" x14ac:dyDescent="0.2">
      <c r="I351" s="3"/>
    </row>
    <row r="352" spans="9:9" x14ac:dyDescent="0.2">
      <c r="I352" s="3"/>
    </row>
    <row r="353" spans="9:9" x14ac:dyDescent="0.2">
      <c r="I353" s="3"/>
    </row>
    <row r="354" spans="9:9" x14ac:dyDescent="0.2">
      <c r="I354" s="3"/>
    </row>
    <row r="355" spans="9:9" x14ac:dyDescent="0.2">
      <c r="I355" s="3"/>
    </row>
    <row r="356" spans="9:9" x14ac:dyDescent="0.2">
      <c r="I356" s="3"/>
    </row>
    <row r="357" spans="9:9" x14ac:dyDescent="0.2">
      <c r="I357" s="3"/>
    </row>
    <row r="358" spans="9:9" x14ac:dyDescent="0.2">
      <c r="I358" s="3"/>
    </row>
    <row r="359" spans="9:9" x14ac:dyDescent="0.2">
      <c r="I359" s="3"/>
    </row>
    <row r="360" spans="9:9" x14ac:dyDescent="0.2">
      <c r="I360" s="3"/>
    </row>
    <row r="361" spans="9:9" x14ac:dyDescent="0.2">
      <c r="I361" s="3"/>
    </row>
    <row r="362" spans="9:9" x14ac:dyDescent="0.2">
      <c r="I362" s="3"/>
    </row>
    <row r="363" spans="9:9" x14ac:dyDescent="0.2">
      <c r="I363" s="3"/>
    </row>
    <row r="364" spans="9:9" x14ac:dyDescent="0.2">
      <c r="I364" s="3"/>
    </row>
    <row r="365" spans="9:9" x14ac:dyDescent="0.2">
      <c r="I365" s="3"/>
    </row>
    <row r="366" spans="9:9" x14ac:dyDescent="0.2">
      <c r="I366" s="3"/>
    </row>
    <row r="367" spans="9:9" x14ac:dyDescent="0.2">
      <c r="I367" s="3"/>
    </row>
    <row r="368" spans="9:9" x14ac:dyDescent="0.2">
      <c r="I368" s="3"/>
    </row>
    <row r="369" spans="9:9" x14ac:dyDescent="0.2">
      <c r="I369" s="3"/>
    </row>
    <row r="370" spans="9:9" x14ac:dyDescent="0.2">
      <c r="I370" s="3"/>
    </row>
    <row r="371" spans="9:9" x14ac:dyDescent="0.2">
      <c r="I371" s="3"/>
    </row>
    <row r="372" spans="9:9" x14ac:dyDescent="0.2">
      <c r="I372" s="3"/>
    </row>
    <row r="373" spans="9:9" x14ac:dyDescent="0.2">
      <c r="I373" s="3"/>
    </row>
    <row r="374" spans="9:9" x14ac:dyDescent="0.2">
      <c r="I374" s="3"/>
    </row>
    <row r="375" spans="9:9" x14ac:dyDescent="0.2">
      <c r="I375" s="3"/>
    </row>
    <row r="376" spans="9:9" x14ac:dyDescent="0.2">
      <c r="I376" s="3"/>
    </row>
    <row r="377" spans="9:9" x14ac:dyDescent="0.2">
      <c r="I377" s="3"/>
    </row>
    <row r="378" spans="9:9" x14ac:dyDescent="0.2">
      <c r="I378" s="3"/>
    </row>
    <row r="379" spans="9:9" x14ac:dyDescent="0.2">
      <c r="I379" s="3"/>
    </row>
    <row r="380" spans="9:9" x14ac:dyDescent="0.2">
      <c r="I380" s="3"/>
    </row>
  </sheetData>
  <mergeCells count="1">
    <mergeCell ref="A1:J1"/>
  </mergeCells>
  <phoneticPr fontId="0" type="noConversion"/>
  <printOptions gridLines="1"/>
  <pageMargins left="0.75" right="0.16" top="0.51" bottom="0.22" header="0.39" footer="0"/>
  <pageSetup scale="85" fitToHeight="11" orientation="landscape" r:id="rId1"/>
  <headerFooter alignWithMargins="0"/>
  <rowBreaks count="2" manualBreakCount="2">
    <brk id="158" max="9" man="1"/>
    <brk id="234"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51"/>
  <sheetViews>
    <sheetView view="pageBreakPreview" zoomScale="125" zoomScaleNormal="100" zoomScaleSheetLayoutView="125" workbookViewId="0">
      <selection activeCell="B9" sqref="B9"/>
    </sheetView>
  </sheetViews>
  <sheetFormatPr defaultColWidth="8.85546875" defaultRowHeight="12.75" x14ac:dyDescent="0.2"/>
  <cols>
    <col min="1" max="1" width="44.42578125" style="6" customWidth="1"/>
    <col min="2" max="2" width="18.28515625" style="6" bestFit="1" customWidth="1"/>
    <col min="3" max="3" width="18.28515625" style="6" customWidth="1"/>
    <col min="4" max="4" width="7" style="6" customWidth="1"/>
    <col min="5" max="5" width="14.7109375" style="10" bestFit="1" customWidth="1"/>
    <col min="6" max="6" width="12.7109375" style="6" customWidth="1"/>
    <col min="7" max="7" width="13.28515625" style="6" customWidth="1"/>
    <col min="8" max="9" width="8.85546875" style="6" customWidth="1"/>
    <col min="10" max="10" width="14.42578125" style="6" bestFit="1" customWidth="1"/>
    <col min="11" max="16384" width="8.85546875" style="6"/>
  </cols>
  <sheetData>
    <row r="1" spans="1:11" x14ac:dyDescent="0.2">
      <c r="A1" s="560" t="s">
        <v>2669</v>
      </c>
      <c r="B1" s="560"/>
      <c r="C1" s="560"/>
      <c r="D1" s="5"/>
    </row>
    <row r="2" spans="1:11" x14ac:dyDescent="0.2">
      <c r="A2" s="80"/>
      <c r="B2" s="80"/>
      <c r="C2" s="404"/>
      <c r="D2" s="5"/>
    </row>
    <row r="3" spans="1:11" x14ac:dyDescent="0.2">
      <c r="A3" s="80"/>
      <c r="B3" s="80"/>
      <c r="C3" s="404"/>
    </row>
    <row r="4" spans="1:11" x14ac:dyDescent="0.2">
      <c r="A4" s="81"/>
      <c r="B4" s="82">
        <v>2023</v>
      </c>
      <c r="C4" s="82">
        <v>2022</v>
      </c>
      <c r="D4" s="35"/>
    </row>
    <row r="5" spans="1:11" ht="15" x14ac:dyDescent="0.25">
      <c r="A5" s="81" t="s">
        <v>652</v>
      </c>
      <c r="B5" s="83">
        <f>+'SUMMARY BY FUND'!G40+'SUMMARY BY FUND'!G47+'SUMMARY BY FUND'!G48+'SUMMARY BY FUND'!G49</f>
        <v>39262619.649999999</v>
      </c>
      <c r="C5" s="83">
        <f>+'SUMMARY BY FUND'!D40</f>
        <v>46371349</v>
      </c>
      <c r="D5" s="2"/>
      <c r="E5" s="3"/>
      <c r="F5" s="2"/>
      <c r="G5" s="2"/>
      <c r="J5" s="216"/>
      <c r="K5"/>
    </row>
    <row r="6" spans="1:11" ht="15" x14ac:dyDescent="0.25">
      <c r="A6" s="81" t="s">
        <v>653</v>
      </c>
      <c r="B6" s="83">
        <f>-'revenue '!AA270+550000-'TAX RATE (all)'!B7</f>
        <v>-19210194</v>
      </c>
      <c r="C6" s="83">
        <f>-'revenue '!Z270+500000-10102750-'TAX RATE (all)'!C7</f>
        <v>-28747249</v>
      </c>
      <c r="D6" s="2"/>
      <c r="E6" s="3"/>
      <c r="F6" s="2"/>
      <c r="G6" s="2"/>
      <c r="J6" s="216"/>
      <c r="K6"/>
    </row>
    <row r="7" spans="1:11" ht="15" x14ac:dyDescent="0.25">
      <c r="A7" s="81"/>
      <c r="B7" s="83"/>
      <c r="C7" s="83"/>
      <c r="D7" s="2"/>
      <c r="E7" s="3"/>
      <c r="F7" s="2"/>
      <c r="G7" s="2"/>
      <c r="J7" s="216"/>
      <c r="K7"/>
    </row>
    <row r="8" spans="1:11" x14ac:dyDescent="0.2">
      <c r="A8" s="81" t="s">
        <v>811</v>
      </c>
      <c r="B8" s="83">
        <v>350000</v>
      </c>
      <c r="C8" s="83">
        <v>332507</v>
      </c>
      <c r="D8" s="2"/>
      <c r="E8" s="3"/>
      <c r="G8" s="2"/>
      <c r="J8"/>
      <c r="K8"/>
    </row>
    <row r="9" spans="1:11" x14ac:dyDescent="0.2">
      <c r="A9" s="81" t="s">
        <v>654</v>
      </c>
      <c r="B9" s="83"/>
      <c r="C9" s="83"/>
      <c r="D9" s="2"/>
      <c r="E9" s="3"/>
      <c r="J9" s="217"/>
      <c r="K9"/>
    </row>
    <row r="10" spans="1:11" ht="15" x14ac:dyDescent="0.25">
      <c r="A10" s="81" t="s">
        <v>655</v>
      </c>
      <c r="B10" s="83">
        <f>-700000-1400000-284500</f>
        <v>-2384500</v>
      </c>
      <c r="C10" s="83">
        <v>-1350000</v>
      </c>
      <c r="D10" s="2"/>
      <c r="E10" s="3"/>
      <c r="J10" s="216"/>
      <c r="K10"/>
    </row>
    <row r="11" spans="1:11" ht="17.25" x14ac:dyDescent="0.4">
      <c r="A11" s="81" t="s">
        <v>1558</v>
      </c>
      <c r="B11" s="361">
        <v>837080</v>
      </c>
      <c r="C11" s="361">
        <v>837080</v>
      </c>
      <c r="E11" s="3"/>
      <c r="G11" s="2"/>
      <c r="J11" s="218"/>
      <c r="K11"/>
    </row>
    <row r="12" spans="1:11" x14ac:dyDescent="0.2">
      <c r="A12" s="81" t="s">
        <v>302</v>
      </c>
      <c r="B12" s="83">
        <f>SUM(B5:B11)</f>
        <v>18855005.649999999</v>
      </c>
      <c r="C12" s="83">
        <f>SUM(C5:C11)</f>
        <v>17443687</v>
      </c>
      <c r="E12" s="3"/>
      <c r="F12" s="2"/>
      <c r="G12" s="2"/>
      <c r="J12" s="217"/>
      <c r="K12" s="219"/>
    </row>
    <row r="13" spans="1:11" x14ac:dyDescent="0.2">
      <c r="A13" s="81"/>
      <c r="B13" s="83"/>
      <c r="C13" s="83"/>
    </row>
    <row r="14" spans="1:11" x14ac:dyDescent="0.2">
      <c r="A14" s="81"/>
      <c r="B14" s="83"/>
      <c r="C14" s="83"/>
    </row>
    <row r="15" spans="1:11" ht="15" x14ac:dyDescent="0.35">
      <c r="A15" s="81" t="s">
        <v>656</v>
      </c>
      <c r="B15" s="360">
        <v>5062905.1679999996</v>
      </c>
      <c r="C15" s="360">
        <v>5038905.1679999996</v>
      </c>
      <c r="D15" s="68"/>
      <c r="E15" s="51"/>
    </row>
    <row r="16" spans="1:11" x14ac:dyDescent="0.2">
      <c r="A16" s="81"/>
      <c r="B16" s="83"/>
      <c r="C16" s="83"/>
      <c r="G16" s="69"/>
      <c r="J16" s="171"/>
    </row>
    <row r="17" spans="1:10" ht="15" x14ac:dyDescent="0.35">
      <c r="A17" s="81" t="s">
        <v>657</v>
      </c>
      <c r="B17" s="359">
        <f>ROUND(B12/B15,2)</f>
        <v>3.72</v>
      </c>
      <c r="C17" s="359">
        <f>ROUND(C12/C15,2)+0.01</f>
        <v>3.4699999999999998</v>
      </c>
      <c r="E17" s="15"/>
      <c r="G17" s="25"/>
      <c r="J17" s="174"/>
    </row>
    <row r="18" spans="1:10" x14ac:dyDescent="0.2">
      <c r="A18" s="81"/>
      <c r="B18" s="83"/>
      <c r="C18" s="83"/>
      <c r="E18" s="15"/>
      <c r="G18" s="25"/>
      <c r="J18" s="175"/>
    </row>
    <row r="19" spans="1:10" x14ac:dyDescent="0.2">
      <c r="B19" s="25"/>
      <c r="C19" s="25"/>
      <c r="E19" s="86"/>
    </row>
    <row r="20" spans="1:10" x14ac:dyDescent="0.2">
      <c r="B20" s="25"/>
      <c r="C20" s="25"/>
    </row>
    <row r="21" spans="1:10" x14ac:dyDescent="0.2">
      <c r="E21" s="42" t="s">
        <v>658</v>
      </c>
      <c r="F21" s="35" t="s">
        <v>659</v>
      </c>
    </row>
    <row r="22" spans="1:10" x14ac:dyDescent="0.2">
      <c r="E22" s="10">
        <v>1994</v>
      </c>
      <c r="F22" s="25">
        <v>8.67</v>
      </c>
    </row>
    <row r="23" spans="1:10" x14ac:dyDescent="0.2">
      <c r="E23" s="10">
        <v>1995</v>
      </c>
      <c r="F23" s="25">
        <v>7.87</v>
      </c>
    </row>
    <row r="24" spans="1:10" x14ac:dyDescent="0.2">
      <c r="E24" s="10">
        <v>1996</v>
      </c>
      <c r="F24" s="25">
        <v>7.7</v>
      </c>
    </row>
    <row r="25" spans="1:10" x14ac:dyDescent="0.2">
      <c r="E25" s="10">
        <v>1997</v>
      </c>
      <c r="F25" s="25">
        <v>6.68</v>
      </c>
    </row>
    <row r="26" spans="1:10" x14ac:dyDescent="0.2">
      <c r="E26" s="10">
        <v>1998</v>
      </c>
      <c r="F26" s="25">
        <v>6</v>
      </c>
    </row>
    <row r="27" spans="1:10" x14ac:dyDescent="0.2">
      <c r="E27" s="10">
        <v>1999</v>
      </c>
      <c r="F27" s="25">
        <v>5.99</v>
      </c>
    </row>
    <row r="28" spans="1:10" x14ac:dyDescent="0.2">
      <c r="E28" s="10">
        <v>2000</v>
      </c>
      <c r="F28" s="25">
        <v>5.4</v>
      </c>
      <c r="J28" s="6" t="s">
        <v>418</v>
      </c>
    </row>
    <row r="29" spans="1:10" x14ac:dyDescent="0.2">
      <c r="E29" s="10">
        <v>2001</v>
      </c>
      <c r="F29" s="25">
        <v>5.07</v>
      </c>
    </row>
    <row r="30" spans="1:10" x14ac:dyDescent="0.2">
      <c r="E30" s="10">
        <v>2002</v>
      </c>
      <c r="F30" s="25">
        <v>3.7</v>
      </c>
    </row>
    <row r="31" spans="1:10" x14ac:dyDescent="0.2">
      <c r="E31" s="10">
        <v>2003</v>
      </c>
      <c r="F31" s="25">
        <v>5.04</v>
      </c>
    </row>
    <row r="32" spans="1:10" x14ac:dyDescent="0.2">
      <c r="E32" s="10">
        <v>2004</v>
      </c>
      <c r="F32" s="25">
        <v>5.26</v>
      </c>
    </row>
    <row r="33" spans="4:6" x14ac:dyDescent="0.2">
      <c r="E33" s="10">
        <v>2005</v>
      </c>
      <c r="F33" s="6">
        <v>5.1100000000000003</v>
      </c>
    </row>
    <row r="34" spans="4:6" x14ac:dyDescent="0.2">
      <c r="E34" s="10">
        <v>2006</v>
      </c>
      <c r="F34" s="6">
        <v>2.82</v>
      </c>
    </row>
    <row r="35" spans="4:6" x14ac:dyDescent="0.2">
      <c r="E35" s="10">
        <v>2007</v>
      </c>
      <c r="F35" s="25">
        <v>3.54</v>
      </c>
    </row>
    <row r="36" spans="4:6" x14ac:dyDescent="0.2">
      <c r="E36" s="10">
        <v>2008</v>
      </c>
      <c r="F36" s="25">
        <v>4.2300000000000004</v>
      </c>
    </row>
    <row r="37" spans="4:6" x14ac:dyDescent="0.2">
      <c r="E37" s="10">
        <v>2009</v>
      </c>
      <c r="F37" s="25">
        <v>4.2300000000000004</v>
      </c>
    </row>
    <row r="38" spans="4:6" x14ac:dyDescent="0.2">
      <c r="E38" s="10">
        <v>2010</v>
      </c>
      <c r="F38" s="25">
        <v>4.34</v>
      </c>
    </row>
    <row r="39" spans="4:6" x14ac:dyDescent="0.2">
      <c r="E39" s="10">
        <v>2011</v>
      </c>
      <c r="F39" s="25">
        <v>5.24</v>
      </c>
    </row>
    <row r="40" spans="4:6" x14ac:dyDescent="0.2">
      <c r="E40" s="10">
        <v>2012</v>
      </c>
      <c r="F40" s="25">
        <v>5.14</v>
      </c>
    </row>
    <row r="41" spans="4:6" x14ac:dyDescent="0.2">
      <c r="E41" s="10">
        <v>2013</v>
      </c>
      <c r="F41" s="25">
        <v>5.29</v>
      </c>
    </row>
    <row r="42" spans="4:6" x14ac:dyDescent="0.2">
      <c r="E42" s="10">
        <v>2014</v>
      </c>
      <c r="F42" s="25">
        <v>5.46</v>
      </c>
    </row>
    <row r="43" spans="4:6" x14ac:dyDescent="0.2">
      <c r="D43" s="25"/>
      <c r="E43" s="10">
        <v>2015</v>
      </c>
      <c r="F43" s="25">
        <v>5.49</v>
      </c>
    </row>
    <row r="44" spans="4:6" x14ac:dyDescent="0.2">
      <c r="E44" s="10">
        <v>2016</v>
      </c>
      <c r="F44" s="25">
        <v>4.91</v>
      </c>
    </row>
    <row r="45" spans="4:6" x14ac:dyDescent="0.2">
      <c r="D45" s="25"/>
      <c r="E45" s="10">
        <v>2017</v>
      </c>
      <c r="F45" s="25">
        <v>4.9000000000000004</v>
      </c>
    </row>
    <row r="46" spans="4:6" x14ac:dyDescent="0.2">
      <c r="E46" s="10">
        <v>2018</v>
      </c>
      <c r="F46" s="25">
        <v>5.0999999999999996</v>
      </c>
    </row>
    <row r="47" spans="4:6" x14ac:dyDescent="0.2">
      <c r="E47" s="10">
        <v>2019</v>
      </c>
      <c r="F47" s="25">
        <v>4.71</v>
      </c>
    </row>
    <row r="48" spans="4:6" x14ac:dyDescent="0.2">
      <c r="E48" s="10">
        <v>2020</v>
      </c>
      <c r="F48" s="25">
        <v>5.0599999999999996</v>
      </c>
    </row>
    <row r="49" spans="2:6" x14ac:dyDescent="0.2">
      <c r="B49" s="40"/>
      <c r="C49" s="40"/>
      <c r="E49" s="10">
        <v>2021</v>
      </c>
      <c r="F49" s="25">
        <v>3.42</v>
      </c>
    </row>
    <row r="50" spans="2:6" x14ac:dyDescent="0.2">
      <c r="B50" s="40"/>
      <c r="C50" s="40"/>
      <c r="E50" s="10">
        <v>2022</v>
      </c>
      <c r="F50" s="401">
        <v>3.47</v>
      </c>
    </row>
    <row r="51" spans="2:6" x14ac:dyDescent="0.2">
      <c r="E51" s="557">
        <v>2023</v>
      </c>
      <c r="F51" s="401">
        <f>+B17</f>
        <v>3.72</v>
      </c>
    </row>
  </sheetData>
  <mergeCells count="1">
    <mergeCell ref="A1:C1"/>
  </mergeCells>
  <phoneticPr fontId="8" type="noConversion"/>
  <pageMargins left="0.75" right="0.75" top="1" bottom="1"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334"/>
  <sheetViews>
    <sheetView view="pageBreakPreview" zoomScaleNormal="100" zoomScaleSheetLayoutView="100" workbookViewId="0">
      <pane ySplit="5" topLeftCell="A110" activePane="bottomLeft" state="frozen"/>
      <selection activeCell="D43" sqref="D43"/>
      <selection pane="bottomLeft" activeCell="J6" sqref="J6:J123"/>
    </sheetView>
  </sheetViews>
  <sheetFormatPr defaultColWidth="8.85546875" defaultRowHeight="12.75" x14ac:dyDescent="0.2"/>
  <cols>
    <col min="1" max="1" width="48.28515625" style="348" bestFit="1" customWidth="1"/>
    <col min="2" max="2" width="9" style="348" bestFit="1" customWidth="1"/>
    <col min="3" max="3" width="10.140625" style="348" customWidth="1"/>
    <col min="4" max="4" width="10.28515625" style="348" customWidth="1"/>
    <col min="5" max="7" width="10.85546875" style="348" customWidth="1"/>
    <col min="8" max="8" width="14" style="348" bestFit="1" customWidth="1"/>
    <col min="9" max="10" width="10.85546875" style="348" customWidth="1"/>
    <col min="11" max="16384" width="8.85546875" style="348"/>
  </cols>
  <sheetData>
    <row r="1" spans="1:10" x14ac:dyDescent="0.2">
      <c r="A1" s="562" t="str">
        <f>'SUMMARY BY FUND'!A1:J1</f>
        <v>2023-24 BUDGET</v>
      </c>
      <c r="B1" s="563"/>
      <c r="C1" s="563"/>
      <c r="D1" s="563"/>
      <c r="E1" s="563"/>
      <c r="F1" s="563"/>
      <c r="G1" s="563"/>
      <c r="H1" s="563"/>
      <c r="I1" s="563"/>
      <c r="J1" s="563"/>
    </row>
    <row r="2" spans="1:10" ht="18.75" x14ac:dyDescent="0.3">
      <c r="A2" s="202" t="s">
        <v>1881</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19" t="s">
        <v>2163</v>
      </c>
      <c r="F5" s="419" t="s">
        <v>2290</v>
      </c>
      <c r="G5" s="419" t="s">
        <v>2507</v>
      </c>
      <c r="H5" s="419" t="s">
        <v>2507</v>
      </c>
      <c r="I5" s="419" t="s">
        <v>2507</v>
      </c>
      <c r="J5" s="419" t="s">
        <v>2507</v>
      </c>
    </row>
    <row r="6" spans="1:10" ht="13.5" x14ac:dyDescent="0.25">
      <c r="A6" s="387" t="s">
        <v>894</v>
      </c>
      <c r="B6" s="388"/>
      <c r="C6" s="388"/>
      <c r="D6" s="388"/>
      <c r="E6" s="388">
        <v>69285</v>
      </c>
      <c r="F6" s="388">
        <v>70610</v>
      </c>
      <c r="G6" s="388">
        <v>71649</v>
      </c>
      <c r="H6" s="388">
        <v>71649</v>
      </c>
      <c r="I6" s="388">
        <v>71649</v>
      </c>
      <c r="J6" s="388"/>
    </row>
    <row r="7" spans="1:10" x14ac:dyDescent="0.2">
      <c r="A7" s="375" t="s">
        <v>895</v>
      </c>
      <c r="B7" s="388">
        <v>52</v>
      </c>
      <c r="C7" s="388">
        <f>33.83*40</f>
        <v>1353.1999999999998</v>
      </c>
      <c r="D7" s="388">
        <f>ROUND(B7*C7,0)</f>
        <v>70366</v>
      </c>
      <c r="E7" s="388"/>
      <c r="F7" s="388"/>
      <c r="G7" s="388"/>
      <c r="H7" s="388"/>
      <c r="I7" s="388"/>
      <c r="J7" s="388"/>
    </row>
    <row r="8" spans="1:10" ht="15" x14ac:dyDescent="0.35">
      <c r="A8" s="375" t="s">
        <v>1039</v>
      </c>
      <c r="B8" s="388"/>
      <c r="C8" s="388"/>
      <c r="D8" s="313">
        <v>1283</v>
      </c>
      <c r="E8" s="388"/>
      <c r="F8" s="388"/>
      <c r="G8" s="388"/>
      <c r="H8" s="388"/>
      <c r="I8" s="388"/>
      <c r="J8" s="388"/>
    </row>
    <row r="9" spans="1:10" x14ac:dyDescent="0.2">
      <c r="A9" s="375" t="s">
        <v>1320</v>
      </c>
      <c r="B9" s="388"/>
      <c r="C9" s="388"/>
      <c r="D9" s="388">
        <f>SUM(D7:D8)</f>
        <v>71649</v>
      </c>
      <c r="E9" s="388"/>
      <c r="F9" s="388"/>
      <c r="G9" s="388"/>
      <c r="H9" s="388"/>
      <c r="I9" s="388"/>
      <c r="J9" s="388"/>
    </row>
    <row r="10" spans="1:10" x14ac:dyDescent="0.2">
      <c r="A10" s="375"/>
      <c r="B10" s="388"/>
      <c r="C10" s="388"/>
      <c r="D10" s="388"/>
      <c r="E10" s="388"/>
      <c r="F10" s="388"/>
      <c r="G10" s="388"/>
      <c r="H10" s="388"/>
      <c r="I10" s="388"/>
      <c r="J10" s="388"/>
    </row>
    <row r="11" spans="1:10" ht="13.5" x14ac:dyDescent="0.25">
      <c r="A11" s="387" t="s">
        <v>896</v>
      </c>
      <c r="B11" s="388"/>
      <c r="C11" s="388"/>
      <c r="D11" s="388"/>
      <c r="E11" s="388">
        <v>208870</v>
      </c>
      <c r="F11" s="388">
        <v>216625</v>
      </c>
      <c r="G11" s="388">
        <v>215471</v>
      </c>
      <c r="H11" s="388">
        <v>215471</v>
      </c>
      <c r="I11" s="388">
        <v>215471</v>
      </c>
      <c r="J11" s="388"/>
    </row>
    <row r="12" spans="1:10" x14ac:dyDescent="0.2">
      <c r="A12" s="375" t="s">
        <v>1843</v>
      </c>
      <c r="B12" s="388">
        <v>52</v>
      </c>
      <c r="C12" s="388">
        <v>1052</v>
      </c>
      <c r="D12" s="388">
        <f>ROUND(B12*C12,0)</f>
        <v>54704</v>
      </c>
      <c r="E12" s="388"/>
      <c r="F12" s="388"/>
      <c r="G12" s="388"/>
      <c r="H12" s="388"/>
      <c r="I12" s="388"/>
      <c r="J12" s="388"/>
    </row>
    <row r="13" spans="1:10" x14ac:dyDescent="0.2">
      <c r="A13" s="375" t="s">
        <v>1843</v>
      </c>
      <c r="B13" s="388">
        <v>52</v>
      </c>
      <c r="C13" s="388">
        <f>27.9*40</f>
        <v>1116</v>
      </c>
      <c r="D13" s="388">
        <f>ROUND(B13*C13,0)</f>
        <v>58032</v>
      </c>
      <c r="E13" s="388"/>
      <c r="F13" s="388"/>
      <c r="G13" s="388"/>
      <c r="H13" s="388"/>
      <c r="I13" s="388"/>
      <c r="J13" s="388"/>
    </row>
    <row r="14" spans="1:10" x14ac:dyDescent="0.2">
      <c r="A14" s="375" t="s">
        <v>1843</v>
      </c>
      <c r="B14" s="388">
        <v>52</v>
      </c>
      <c r="C14" s="388">
        <f>26.3*40</f>
        <v>1052</v>
      </c>
      <c r="D14" s="388">
        <f>ROUND(B14*C14,0)</f>
        <v>54704</v>
      </c>
      <c r="E14" s="388"/>
      <c r="F14" s="388"/>
      <c r="G14" s="388"/>
      <c r="H14" s="388"/>
      <c r="I14" s="388"/>
      <c r="J14" s="388"/>
    </row>
    <row r="15" spans="1:10" x14ac:dyDescent="0.2">
      <c r="A15" s="375" t="s">
        <v>1220</v>
      </c>
      <c r="B15" s="388">
        <v>52</v>
      </c>
      <c r="C15" s="388">
        <f>22.52*40</f>
        <v>900.8</v>
      </c>
      <c r="D15" s="388">
        <f>ROUND(B15*C15,0)</f>
        <v>46842</v>
      </c>
      <c r="E15" s="388"/>
      <c r="F15" s="388"/>
      <c r="G15" s="388"/>
      <c r="H15" s="388"/>
      <c r="I15" s="388"/>
      <c r="J15" s="388"/>
    </row>
    <row r="16" spans="1:10" ht="15" x14ac:dyDescent="0.35">
      <c r="A16" s="375" t="s">
        <v>1039</v>
      </c>
      <c r="B16" s="388"/>
      <c r="C16" s="388"/>
      <c r="D16" s="313">
        <v>1189</v>
      </c>
      <c r="E16" s="388"/>
      <c r="F16" s="388"/>
      <c r="G16" s="388"/>
      <c r="H16" s="388"/>
      <c r="I16" s="388"/>
      <c r="J16" s="388"/>
    </row>
    <row r="17" spans="1:10" x14ac:dyDescent="0.2">
      <c r="A17" s="375" t="s">
        <v>1320</v>
      </c>
      <c r="B17" s="388"/>
      <c r="C17" s="388"/>
      <c r="D17" s="388">
        <f>SUM(D12:D16)</f>
        <v>215471</v>
      </c>
      <c r="E17" s="388"/>
      <c r="F17" s="388"/>
      <c r="G17" s="388"/>
      <c r="H17" s="388"/>
      <c r="I17" s="388"/>
      <c r="J17" s="388"/>
    </row>
    <row r="18" spans="1:10" x14ac:dyDescent="0.2">
      <c r="A18" s="375"/>
      <c r="B18" s="388"/>
      <c r="C18" s="388"/>
      <c r="D18" s="388"/>
      <c r="E18" s="388"/>
      <c r="F18" s="388"/>
      <c r="G18" s="388"/>
      <c r="H18" s="388"/>
      <c r="I18" s="388"/>
      <c r="J18" s="388"/>
    </row>
    <row r="19" spans="1:10" ht="13.5" x14ac:dyDescent="0.25">
      <c r="A19" s="387" t="s">
        <v>1400</v>
      </c>
      <c r="B19" s="388"/>
      <c r="C19" s="388"/>
      <c r="D19" s="388"/>
      <c r="E19" s="388">
        <v>1154</v>
      </c>
      <c r="F19" s="388">
        <v>3750</v>
      </c>
      <c r="G19" s="388">
        <v>3806</v>
      </c>
      <c r="H19" s="388">
        <v>3806</v>
      </c>
      <c r="I19" s="388">
        <v>3806</v>
      </c>
      <c r="J19" s="388"/>
    </row>
    <row r="20" spans="1:10" x14ac:dyDescent="0.2">
      <c r="A20" s="375" t="s">
        <v>895</v>
      </c>
      <c r="B20" s="388">
        <v>75</v>
      </c>
      <c r="C20" s="388">
        <f>+C7/40*1.5</f>
        <v>50.744999999999997</v>
      </c>
      <c r="D20" s="388">
        <f>ROUND(B20*C20,0)</f>
        <v>3806</v>
      </c>
      <c r="E20" s="388"/>
      <c r="F20" s="388"/>
      <c r="G20" s="388"/>
      <c r="H20" s="388"/>
      <c r="I20" s="388"/>
      <c r="J20" s="388"/>
    </row>
    <row r="21" spans="1:10" x14ac:dyDescent="0.2">
      <c r="A21" s="375"/>
      <c r="B21" s="388"/>
      <c r="C21" s="388"/>
      <c r="D21" s="388"/>
      <c r="E21" s="388"/>
      <c r="F21" s="388"/>
      <c r="G21" s="388"/>
      <c r="H21" s="388"/>
      <c r="I21" s="388"/>
      <c r="J21" s="388"/>
    </row>
    <row r="22" spans="1:10" x14ac:dyDescent="0.2">
      <c r="A22" s="375"/>
      <c r="B22" s="388"/>
      <c r="C22" s="388"/>
      <c r="D22" s="388"/>
      <c r="E22" s="388"/>
      <c r="F22" s="388"/>
      <c r="G22" s="388"/>
      <c r="H22" s="388"/>
      <c r="I22" s="388"/>
      <c r="J22" s="388"/>
    </row>
    <row r="23" spans="1:10" ht="13.5" x14ac:dyDescent="0.25">
      <c r="A23" s="387" t="s">
        <v>1401</v>
      </c>
      <c r="B23" s="388"/>
      <c r="C23" s="388"/>
      <c r="D23" s="388"/>
      <c r="E23" s="388">
        <v>8406</v>
      </c>
      <c r="F23" s="388">
        <v>4855</v>
      </c>
      <c r="G23" s="388">
        <v>4829</v>
      </c>
      <c r="H23" s="388">
        <v>4829</v>
      </c>
      <c r="I23" s="388">
        <v>4829</v>
      </c>
      <c r="J23" s="388"/>
    </row>
    <row r="24" spans="1:10" x14ac:dyDescent="0.2">
      <c r="A24" s="375" t="s">
        <v>1402</v>
      </c>
      <c r="B24" s="388">
        <v>125</v>
      </c>
      <c r="C24" s="388">
        <f>SUM(C12:C15)/40*1.5/4</f>
        <v>38.632500000000007</v>
      </c>
      <c r="D24" s="388">
        <f>ROUND(B24*C24,0)</f>
        <v>4829</v>
      </c>
      <c r="E24" s="388"/>
      <c r="F24" s="388"/>
      <c r="G24" s="388"/>
      <c r="H24" s="388"/>
      <c r="I24" s="388"/>
      <c r="J24" s="388"/>
    </row>
    <row r="25" spans="1:10" x14ac:dyDescent="0.2">
      <c r="A25" s="375"/>
      <c r="B25" s="388"/>
      <c r="C25" s="388"/>
      <c r="D25" s="388"/>
      <c r="E25" s="388"/>
      <c r="F25" s="388"/>
      <c r="G25" s="388"/>
      <c r="H25" s="388"/>
      <c r="I25" s="388"/>
      <c r="J25" s="388"/>
    </row>
    <row r="26" spans="1:10" ht="13.5" x14ac:dyDescent="0.25">
      <c r="A26" s="387" t="s">
        <v>1403</v>
      </c>
      <c r="B26" s="388"/>
      <c r="C26" s="388"/>
      <c r="D26" s="388"/>
      <c r="E26" s="388">
        <v>23365</v>
      </c>
      <c r="F26" s="388">
        <v>22632</v>
      </c>
      <c r="G26" s="388">
        <v>22625</v>
      </c>
      <c r="H26" s="388">
        <v>22625</v>
      </c>
      <c r="I26" s="388">
        <v>22625</v>
      </c>
      <c r="J26" s="388"/>
    </row>
    <row r="27" spans="1:10" hidden="1" x14ac:dyDescent="0.2">
      <c r="A27" s="375" t="s">
        <v>1536</v>
      </c>
      <c r="B27" s="388">
        <f>+D9</f>
        <v>71649</v>
      </c>
      <c r="C27" s="429">
        <v>7.6499999999999999E-2</v>
      </c>
      <c r="D27" s="388">
        <f>ROUND(B27*C27,0)</f>
        <v>5481</v>
      </c>
      <c r="E27" s="388"/>
      <c r="F27" s="388"/>
      <c r="G27" s="388"/>
      <c r="H27" s="388"/>
      <c r="I27" s="388"/>
      <c r="J27" s="388"/>
    </row>
    <row r="28" spans="1:10" hidden="1" x14ac:dyDescent="0.2">
      <c r="A28" s="375" t="s">
        <v>883</v>
      </c>
      <c r="B28" s="388">
        <f>+D17</f>
        <v>215471</v>
      </c>
      <c r="C28" s="429">
        <v>7.6499999999999999E-2</v>
      </c>
      <c r="D28" s="388">
        <f>ROUND(B28*C28,0)</f>
        <v>16484</v>
      </c>
      <c r="E28" s="388"/>
      <c r="F28" s="388"/>
      <c r="G28" s="388"/>
      <c r="H28" s="388"/>
      <c r="I28" s="388"/>
      <c r="J28" s="388"/>
    </row>
    <row r="29" spans="1:10" hidden="1" x14ac:dyDescent="0.2">
      <c r="A29" s="375" t="s">
        <v>966</v>
      </c>
      <c r="B29" s="388">
        <f>+D20</f>
        <v>3806</v>
      </c>
      <c r="C29" s="429">
        <v>7.6499999999999999E-2</v>
      </c>
      <c r="D29" s="388">
        <f>ROUND(B29*C29,0)</f>
        <v>291</v>
      </c>
      <c r="E29" s="388"/>
      <c r="F29" s="388"/>
      <c r="G29" s="388"/>
      <c r="H29" s="388"/>
      <c r="I29" s="388"/>
      <c r="J29" s="388"/>
    </row>
    <row r="30" spans="1:10" ht="15" hidden="1" x14ac:dyDescent="0.35">
      <c r="A30" s="375" t="s">
        <v>197</v>
      </c>
      <c r="B30" s="388">
        <f>+D24</f>
        <v>4829</v>
      </c>
      <c r="C30" s="429">
        <v>7.6499999999999999E-2</v>
      </c>
      <c r="D30" s="313">
        <f>ROUND(B30*C30,0)</f>
        <v>369</v>
      </c>
      <c r="E30" s="388"/>
      <c r="F30" s="388"/>
      <c r="G30" s="388"/>
      <c r="H30" s="388"/>
      <c r="I30" s="388"/>
      <c r="J30" s="388"/>
    </row>
    <row r="31" spans="1:10" hidden="1" x14ac:dyDescent="0.2">
      <c r="A31" s="375" t="s">
        <v>1320</v>
      </c>
      <c r="B31" s="388"/>
      <c r="C31" s="429"/>
      <c r="D31" s="388">
        <f>SUM(D27:D30)</f>
        <v>22625</v>
      </c>
      <c r="E31" s="388"/>
      <c r="F31" s="388"/>
      <c r="G31" s="388"/>
      <c r="H31" s="388"/>
      <c r="I31" s="388"/>
      <c r="J31" s="388"/>
    </row>
    <row r="32" spans="1:10" x14ac:dyDescent="0.2">
      <c r="A32" s="375"/>
      <c r="B32" s="388"/>
      <c r="C32" s="429"/>
      <c r="D32" s="388"/>
      <c r="E32" s="388"/>
      <c r="F32" s="388"/>
      <c r="G32" s="388"/>
      <c r="H32" s="388"/>
      <c r="I32" s="388"/>
      <c r="J32" s="388"/>
    </row>
    <row r="33" spans="1:10" ht="13.5" x14ac:dyDescent="0.25">
      <c r="A33" s="387" t="s">
        <v>1404</v>
      </c>
      <c r="B33" s="388"/>
      <c r="C33" s="429"/>
      <c r="D33" s="388"/>
      <c r="E33" s="388">
        <v>41930</v>
      </c>
      <c r="F33" s="388">
        <v>41595</v>
      </c>
      <c r="G33" s="388">
        <v>40015</v>
      </c>
      <c r="H33" s="388">
        <v>40015</v>
      </c>
      <c r="I33" s="388">
        <v>40015</v>
      </c>
      <c r="J33" s="388"/>
    </row>
    <row r="34" spans="1:10" hidden="1" x14ac:dyDescent="0.2">
      <c r="A34" s="517" t="s">
        <v>1536</v>
      </c>
      <c r="B34" s="389">
        <f>+D9</f>
        <v>71649</v>
      </c>
      <c r="C34" s="518">
        <v>0.1353</v>
      </c>
      <c r="D34" s="389">
        <f>ROUND(B34*C34,0)</f>
        <v>9694</v>
      </c>
      <c r="E34" s="389"/>
      <c r="F34" s="388"/>
      <c r="G34" s="388"/>
      <c r="H34" s="388"/>
      <c r="I34" s="388"/>
      <c r="J34" s="388"/>
    </row>
    <row r="35" spans="1:10" ht="16.899999999999999" hidden="1" customHeight="1" x14ac:dyDescent="0.2">
      <c r="A35" s="517" t="s">
        <v>883</v>
      </c>
      <c r="B35" s="389">
        <f>+D17</f>
        <v>215471</v>
      </c>
      <c r="C35" s="518">
        <v>0.1353</v>
      </c>
      <c r="D35" s="389">
        <f>ROUND(B35*C35,0)</f>
        <v>29153</v>
      </c>
      <c r="E35" s="389"/>
      <c r="F35" s="388"/>
      <c r="G35" s="388"/>
      <c r="H35" s="388"/>
      <c r="I35" s="388"/>
      <c r="J35" s="388"/>
    </row>
    <row r="36" spans="1:10" hidden="1" x14ac:dyDescent="0.2">
      <c r="A36" s="517" t="s">
        <v>966</v>
      </c>
      <c r="B36" s="389">
        <f>+D20</f>
        <v>3806</v>
      </c>
      <c r="C36" s="518">
        <v>0.1353</v>
      </c>
      <c r="D36" s="389">
        <f>ROUND(B36*C36,0)</f>
        <v>515</v>
      </c>
      <c r="E36" s="389"/>
      <c r="F36" s="388"/>
      <c r="G36" s="388"/>
      <c r="H36" s="388"/>
      <c r="I36" s="388"/>
      <c r="J36" s="388"/>
    </row>
    <row r="37" spans="1:10" ht="15" hidden="1" x14ac:dyDescent="0.35">
      <c r="A37" s="517" t="s">
        <v>197</v>
      </c>
      <c r="B37" s="389">
        <f>+B30</f>
        <v>4829</v>
      </c>
      <c r="C37" s="518">
        <v>0.1353</v>
      </c>
      <c r="D37" s="313">
        <f>ROUND(B37*C37,0)</f>
        <v>653</v>
      </c>
      <c r="E37" s="389"/>
      <c r="F37" s="388"/>
      <c r="G37" s="388"/>
      <c r="H37" s="388"/>
      <c r="I37" s="388"/>
      <c r="J37" s="388"/>
    </row>
    <row r="38" spans="1:10" hidden="1" x14ac:dyDescent="0.2">
      <c r="A38" s="517" t="s">
        <v>1320</v>
      </c>
      <c r="B38" s="389"/>
      <c r="C38" s="389"/>
      <c r="D38" s="389">
        <f>SUM(D34:D37)</f>
        <v>40015</v>
      </c>
      <c r="E38" s="389"/>
      <c r="F38" s="388"/>
      <c r="G38" s="388"/>
      <c r="H38" s="388"/>
      <c r="I38" s="388"/>
      <c r="J38" s="388"/>
    </row>
    <row r="39" spans="1:10" x14ac:dyDescent="0.2">
      <c r="A39" s="517"/>
      <c r="B39" s="389"/>
      <c r="C39" s="389"/>
      <c r="D39" s="389"/>
      <c r="E39" s="389"/>
      <c r="F39" s="388"/>
      <c r="G39" s="388"/>
      <c r="H39" s="388"/>
      <c r="I39" s="388"/>
      <c r="J39" s="388"/>
    </row>
    <row r="40" spans="1:10" ht="13.5" x14ac:dyDescent="0.25">
      <c r="A40" s="519" t="s">
        <v>972</v>
      </c>
      <c r="B40" s="389"/>
      <c r="C40" s="389"/>
      <c r="D40" s="389"/>
      <c r="E40" s="389">
        <v>94546</v>
      </c>
      <c r="F40" s="388">
        <v>95000</v>
      </c>
      <c r="G40" s="388">
        <v>101250</v>
      </c>
      <c r="H40" s="388">
        <v>101250</v>
      </c>
      <c r="I40" s="388">
        <v>101250</v>
      </c>
      <c r="J40" s="388"/>
    </row>
    <row r="41" spans="1:10" hidden="1" x14ac:dyDescent="0.2">
      <c r="A41" s="517" t="s">
        <v>440</v>
      </c>
      <c r="B41" s="389">
        <v>4</v>
      </c>
      <c r="C41" s="3">
        <v>20250</v>
      </c>
      <c r="D41" s="389">
        <f>ROUND(B41*C41,0)</f>
        <v>81000</v>
      </c>
      <c r="E41" s="389"/>
      <c r="F41" s="388"/>
      <c r="G41" s="388"/>
      <c r="H41" s="388"/>
      <c r="I41" s="388"/>
      <c r="J41" s="388"/>
    </row>
    <row r="42" spans="1:10" ht="15" hidden="1" x14ac:dyDescent="0.35">
      <c r="A42" s="517" t="s">
        <v>372</v>
      </c>
      <c r="B42" s="389">
        <v>1</v>
      </c>
      <c r="C42" s="3">
        <v>20250</v>
      </c>
      <c r="D42" s="313">
        <f>ROUND(B42*C42,0)</f>
        <v>20250</v>
      </c>
      <c r="E42" s="389"/>
      <c r="F42" s="388"/>
      <c r="G42" s="388"/>
      <c r="H42" s="388"/>
      <c r="I42" s="388"/>
      <c r="J42" s="388"/>
    </row>
    <row r="43" spans="1:10" hidden="1" x14ac:dyDescent="0.2">
      <c r="A43" s="517" t="s">
        <v>877</v>
      </c>
      <c r="B43" s="389"/>
      <c r="C43" s="389"/>
      <c r="D43" s="389">
        <f>SUM(D41:D42)</f>
        <v>101250</v>
      </c>
      <c r="E43" s="389"/>
      <c r="F43" s="388"/>
      <c r="G43" s="388"/>
      <c r="H43" s="388"/>
      <c r="I43" s="388"/>
      <c r="J43" s="388"/>
    </row>
    <row r="44" spans="1:10" x14ac:dyDescent="0.2">
      <c r="A44" s="517"/>
      <c r="B44" s="389"/>
      <c r="C44" s="389"/>
      <c r="D44" s="389"/>
      <c r="E44" s="389"/>
      <c r="F44" s="388"/>
      <c r="G44" s="388"/>
      <c r="H44" s="388"/>
      <c r="I44" s="388"/>
      <c r="J44" s="388"/>
    </row>
    <row r="45" spans="1:10" ht="13.5" x14ac:dyDescent="0.25">
      <c r="A45" s="519" t="s">
        <v>973</v>
      </c>
      <c r="B45" s="389"/>
      <c r="C45" s="389"/>
      <c r="D45" s="389"/>
      <c r="E45" s="389">
        <v>6226</v>
      </c>
      <c r="F45" s="388">
        <v>6188</v>
      </c>
      <c r="G45" s="388">
        <v>6188</v>
      </c>
      <c r="H45" s="388">
        <v>6188</v>
      </c>
      <c r="I45" s="388">
        <v>6188</v>
      </c>
      <c r="J45" s="388"/>
    </row>
    <row r="46" spans="1:10" hidden="1" x14ac:dyDescent="0.2">
      <c r="A46" s="517" t="s">
        <v>440</v>
      </c>
      <c r="B46" s="389">
        <v>5</v>
      </c>
      <c r="C46" s="389">
        <v>1375</v>
      </c>
      <c r="D46" s="389">
        <f>ROUND(B46*C46,0)</f>
        <v>6875</v>
      </c>
      <c r="E46" s="389"/>
      <c r="F46" s="388"/>
      <c r="G46" s="388"/>
      <c r="H46" s="388"/>
      <c r="I46" s="388"/>
      <c r="J46" s="388"/>
    </row>
    <row r="47" spans="1:10" ht="15" hidden="1" x14ac:dyDescent="0.35">
      <c r="A47" s="517" t="s">
        <v>1758</v>
      </c>
      <c r="B47" s="389"/>
      <c r="C47" s="389"/>
      <c r="D47" s="313">
        <f>+D46*-0.1</f>
        <v>-687.5</v>
      </c>
      <c r="E47" s="389"/>
      <c r="F47" s="388"/>
      <c r="G47" s="388"/>
      <c r="H47" s="388"/>
      <c r="I47" s="388"/>
      <c r="J47" s="388"/>
    </row>
    <row r="48" spans="1:10" hidden="1" x14ac:dyDescent="0.2">
      <c r="A48" s="517"/>
      <c r="B48" s="389"/>
      <c r="C48" s="389"/>
      <c r="D48" s="389">
        <f>SUM(D46:D47)</f>
        <v>6187.5</v>
      </c>
      <c r="E48" s="389"/>
      <c r="F48" s="388"/>
      <c r="G48" s="388"/>
      <c r="H48" s="388"/>
      <c r="I48" s="388"/>
      <c r="J48" s="388"/>
    </row>
    <row r="49" spans="1:10" x14ac:dyDescent="0.2">
      <c r="A49" s="517"/>
      <c r="B49" s="389"/>
      <c r="C49" s="389"/>
      <c r="D49" s="389"/>
      <c r="E49" s="389"/>
      <c r="F49" s="388"/>
      <c r="G49" s="388"/>
      <c r="H49" s="388"/>
      <c r="I49" s="388"/>
      <c r="J49" s="388"/>
    </row>
    <row r="50" spans="1:10" ht="13.5" x14ac:dyDescent="0.25">
      <c r="A50" s="519" t="s">
        <v>974</v>
      </c>
      <c r="B50" s="389"/>
      <c r="C50" s="389"/>
      <c r="D50" s="389"/>
      <c r="E50" s="389">
        <v>244</v>
      </c>
      <c r="F50" s="388">
        <v>380</v>
      </c>
      <c r="G50" s="388">
        <v>380</v>
      </c>
      <c r="H50" s="388">
        <v>380</v>
      </c>
      <c r="I50" s="388">
        <v>380</v>
      </c>
      <c r="J50" s="388"/>
    </row>
    <row r="51" spans="1:10" hidden="1" x14ac:dyDescent="0.2">
      <c r="A51" s="517" t="s">
        <v>373</v>
      </c>
      <c r="B51" s="389">
        <v>1</v>
      </c>
      <c r="C51" s="389">
        <v>240</v>
      </c>
      <c r="D51" s="389">
        <f>ROUND(B51*C51,0)</f>
        <v>240</v>
      </c>
      <c r="E51" s="389"/>
      <c r="F51" s="388"/>
      <c r="G51" s="388"/>
      <c r="H51" s="388"/>
      <c r="I51" s="388"/>
      <c r="J51" s="388"/>
    </row>
    <row r="52" spans="1:10" ht="15" hidden="1" x14ac:dyDescent="0.35">
      <c r="A52" s="517" t="s">
        <v>1134</v>
      </c>
      <c r="B52" s="389">
        <v>4</v>
      </c>
      <c r="C52" s="389">
        <v>35</v>
      </c>
      <c r="D52" s="313">
        <f>ROUND(B52*C52,0)</f>
        <v>140</v>
      </c>
      <c r="E52" s="389"/>
      <c r="F52" s="388"/>
      <c r="G52" s="388"/>
      <c r="H52" s="388"/>
      <c r="I52" s="388"/>
      <c r="J52" s="388"/>
    </row>
    <row r="53" spans="1:10" hidden="1" x14ac:dyDescent="0.2">
      <c r="A53" s="517" t="s">
        <v>1320</v>
      </c>
      <c r="B53" s="389"/>
      <c r="C53" s="389"/>
      <c r="D53" s="389">
        <f>SUM(D51:D52)</f>
        <v>380</v>
      </c>
      <c r="E53" s="389"/>
      <c r="F53" s="388"/>
      <c r="G53" s="388"/>
      <c r="H53" s="388"/>
      <c r="I53" s="388"/>
      <c r="J53" s="388"/>
    </row>
    <row r="54" spans="1:10" x14ac:dyDescent="0.2">
      <c r="A54" s="517"/>
      <c r="B54" s="389"/>
      <c r="C54" s="389"/>
      <c r="D54" s="389"/>
      <c r="E54" s="389"/>
      <c r="F54" s="388"/>
      <c r="G54" s="388"/>
      <c r="H54" s="388"/>
      <c r="I54" s="388"/>
      <c r="J54" s="388"/>
    </row>
    <row r="55" spans="1:10" ht="13.5" x14ac:dyDescent="0.25">
      <c r="A55" s="519" t="s">
        <v>1533</v>
      </c>
      <c r="B55" s="389"/>
      <c r="C55" s="389"/>
      <c r="D55" s="389"/>
      <c r="E55" s="389">
        <v>2396</v>
      </c>
      <c r="F55" s="388">
        <v>2625</v>
      </c>
      <c r="G55" s="388">
        <v>2825</v>
      </c>
      <c r="H55" s="388">
        <v>2825</v>
      </c>
      <c r="I55" s="388">
        <v>2825</v>
      </c>
      <c r="J55" s="388"/>
    </row>
    <row r="56" spans="1:10" hidden="1" x14ac:dyDescent="0.2">
      <c r="A56" s="517" t="s">
        <v>902</v>
      </c>
      <c r="B56" s="389">
        <v>5</v>
      </c>
      <c r="C56" s="389">
        <v>565</v>
      </c>
      <c r="D56" s="389">
        <f>ROUND(B56*C56,0)</f>
        <v>2825</v>
      </c>
      <c r="E56" s="389"/>
      <c r="F56" s="388"/>
      <c r="G56" s="388"/>
      <c r="H56" s="388"/>
      <c r="I56" s="388"/>
      <c r="J56" s="388"/>
    </row>
    <row r="57" spans="1:10" x14ac:dyDescent="0.2">
      <c r="A57" s="517"/>
      <c r="B57" s="389"/>
      <c r="C57" s="389"/>
      <c r="D57" s="389"/>
      <c r="E57" s="389"/>
      <c r="F57" s="388"/>
      <c r="G57" s="388"/>
      <c r="H57" s="388"/>
      <c r="I57" s="388"/>
      <c r="J57" s="388"/>
    </row>
    <row r="58" spans="1:10" ht="13.5" x14ac:dyDescent="0.25">
      <c r="A58" s="519" t="s">
        <v>1534</v>
      </c>
      <c r="B58" s="389"/>
      <c r="C58" s="389"/>
      <c r="D58" s="389"/>
      <c r="E58" s="389">
        <v>8309</v>
      </c>
      <c r="F58" s="388">
        <v>8402</v>
      </c>
      <c r="G58" s="388">
        <v>7285</v>
      </c>
      <c r="H58" s="388">
        <v>7285</v>
      </c>
      <c r="I58" s="388">
        <v>7285</v>
      </c>
      <c r="J58" s="388"/>
    </row>
    <row r="59" spans="1:10" x14ac:dyDescent="0.2">
      <c r="A59" s="517" t="s">
        <v>1536</v>
      </c>
      <c r="B59" s="389">
        <f>+D9</f>
        <v>71649</v>
      </c>
      <c r="C59" s="520">
        <v>2.4629999999999999E-2</v>
      </c>
      <c r="D59" s="389">
        <f>ROUND(B59*C59,0)</f>
        <v>1765</v>
      </c>
      <c r="E59" s="389"/>
      <c r="F59" s="388"/>
      <c r="G59" s="388"/>
      <c r="H59" s="388"/>
      <c r="I59" s="388"/>
      <c r="J59" s="388"/>
    </row>
    <row r="60" spans="1:10" x14ac:dyDescent="0.2">
      <c r="A60" s="517" t="s">
        <v>883</v>
      </c>
      <c r="B60" s="389">
        <f>+D17</f>
        <v>215471</v>
      </c>
      <c r="C60" s="520">
        <v>2.4629999999999999E-2</v>
      </c>
      <c r="D60" s="389">
        <f>ROUND(B60*C60,0)</f>
        <v>5307</v>
      </c>
      <c r="E60" s="389"/>
      <c r="F60" s="388"/>
      <c r="G60" s="388"/>
      <c r="H60" s="388"/>
      <c r="I60" s="388"/>
      <c r="J60" s="388"/>
    </row>
    <row r="61" spans="1:10" x14ac:dyDescent="0.2">
      <c r="A61" s="517" t="s">
        <v>1925</v>
      </c>
      <c r="B61" s="389">
        <f>ROUND(D20,0)</f>
        <v>3806</v>
      </c>
      <c r="C61" s="520">
        <v>2.4629999999999999E-2</v>
      </c>
      <c r="D61" s="389">
        <f>ROUND(B61*C61,0)</f>
        <v>94</v>
      </c>
      <c r="E61" s="389"/>
      <c r="F61" s="388"/>
      <c r="G61" s="388"/>
      <c r="H61" s="388"/>
      <c r="I61" s="388"/>
      <c r="J61" s="388"/>
    </row>
    <row r="62" spans="1:10" ht="15" x14ac:dyDescent="0.35">
      <c r="A62" s="517" t="s">
        <v>1926</v>
      </c>
      <c r="B62" s="389">
        <f>ROUND(D24,0)</f>
        <v>4829</v>
      </c>
      <c r="C62" s="520">
        <v>2.4629999999999999E-2</v>
      </c>
      <c r="D62" s="313">
        <f>ROUND(B62*C62,0)</f>
        <v>119</v>
      </c>
      <c r="E62" s="389"/>
      <c r="F62" s="388"/>
      <c r="G62" s="388"/>
      <c r="H62" s="388"/>
      <c r="I62" s="388"/>
      <c r="J62" s="388"/>
    </row>
    <row r="63" spans="1:10" x14ac:dyDescent="0.2">
      <c r="A63" s="517" t="s">
        <v>1320</v>
      </c>
      <c r="B63" s="389"/>
      <c r="C63" s="389"/>
      <c r="D63" s="389">
        <f>SUM(D59:D62)</f>
        <v>7285</v>
      </c>
      <c r="E63" s="389"/>
      <c r="F63" s="388"/>
      <c r="G63" s="388"/>
      <c r="H63" s="388"/>
      <c r="I63" s="388"/>
      <c r="J63" s="388"/>
    </row>
    <row r="64" spans="1:10" x14ac:dyDescent="0.2">
      <c r="A64" s="517"/>
      <c r="B64" s="389"/>
      <c r="C64" s="389"/>
      <c r="D64" s="389"/>
      <c r="E64" s="389"/>
      <c r="F64" s="388"/>
      <c r="G64" s="388"/>
      <c r="H64" s="388"/>
      <c r="I64" s="388"/>
      <c r="J64" s="388"/>
    </row>
    <row r="65" spans="1:10" ht="13.5" x14ac:dyDescent="0.25">
      <c r="A65" s="519" t="s">
        <v>515</v>
      </c>
      <c r="B65" s="389"/>
      <c r="C65" s="389"/>
      <c r="D65" s="389"/>
      <c r="E65" s="389">
        <v>51</v>
      </c>
      <c r="F65" s="388">
        <v>100</v>
      </c>
      <c r="G65" s="388">
        <v>100</v>
      </c>
      <c r="H65" s="388">
        <v>100</v>
      </c>
      <c r="I65" s="388">
        <v>100</v>
      </c>
      <c r="J65" s="388"/>
    </row>
    <row r="66" spans="1:10" hidden="1" x14ac:dyDescent="0.2">
      <c r="A66" s="517" t="s">
        <v>1536</v>
      </c>
      <c r="B66" s="389">
        <v>1</v>
      </c>
      <c r="C66" s="389">
        <v>20</v>
      </c>
      <c r="D66" s="389">
        <f>ROUND(B66*C66,0)</f>
        <v>20</v>
      </c>
      <c r="E66" s="389"/>
      <c r="F66" s="388"/>
      <c r="G66" s="388"/>
      <c r="H66" s="388"/>
      <c r="I66" s="388"/>
      <c r="J66" s="388"/>
    </row>
    <row r="67" spans="1:10" ht="15" hidden="1" x14ac:dyDescent="0.35">
      <c r="A67" s="517" t="s">
        <v>883</v>
      </c>
      <c r="B67" s="389">
        <v>4</v>
      </c>
      <c r="C67" s="389">
        <v>20</v>
      </c>
      <c r="D67" s="313">
        <f>ROUND(B67*C67,0)</f>
        <v>80</v>
      </c>
      <c r="E67" s="389"/>
      <c r="F67" s="388"/>
      <c r="G67" s="388"/>
      <c r="H67" s="388"/>
      <c r="I67" s="388"/>
      <c r="J67" s="388"/>
    </row>
    <row r="68" spans="1:10" hidden="1" x14ac:dyDescent="0.2">
      <c r="A68" s="517" t="s">
        <v>1320</v>
      </c>
      <c r="B68" s="389"/>
      <c r="C68" s="389"/>
      <c r="D68" s="389">
        <f>SUM(D66:D67)</f>
        <v>100</v>
      </c>
      <c r="E68" s="389"/>
      <c r="F68" s="388"/>
      <c r="G68" s="388"/>
      <c r="H68" s="388"/>
      <c r="I68" s="388"/>
      <c r="J68" s="388"/>
    </row>
    <row r="69" spans="1:10" x14ac:dyDescent="0.2">
      <c r="A69" s="517"/>
      <c r="B69" s="389"/>
      <c r="C69" s="389"/>
      <c r="D69" s="389"/>
      <c r="E69" s="389"/>
      <c r="F69" s="388"/>
      <c r="G69" s="388"/>
      <c r="H69" s="388"/>
      <c r="I69" s="388"/>
      <c r="J69" s="388"/>
    </row>
    <row r="70" spans="1:10" ht="13.5" x14ac:dyDescent="0.25">
      <c r="A70" s="519" t="s">
        <v>255</v>
      </c>
      <c r="B70" s="389"/>
      <c r="C70" s="389"/>
      <c r="D70" s="389"/>
      <c r="E70" s="389">
        <v>0</v>
      </c>
      <c r="F70" s="388">
        <v>0</v>
      </c>
      <c r="G70" s="388">
        <v>0</v>
      </c>
      <c r="H70" s="388">
        <v>0</v>
      </c>
      <c r="I70" s="388">
        <v>0</v>
      </c>
      <c r="J70" s="388"/>
    </row>
    <row r="71" spans="1:10" x14ac:dyDescent="0.2">
      <c r="A71" s="517" t="s">
        <v>2465</v>
      </c>
      <c r="B71" s="389"/>
      <c r="C71" s="389"/>
      <c r="D71" s="389">
        <v>0</v>
      </c>
      <c r="E71" s="389"/>
      <c r="F71" s="388"/>
      <c r="G71" s="388"/>
      <c r="H71" s="388"/>
      <c r="I71" s="388"/>
      <c r="J71" s="388"/>
    </row>
    <row r="72" spans="1:10" x14ac:dyDescent="0.2">
      <c r="A72" s="517"/>
      <c r="B72" s="389"/>
      <c r="C72" s="389"/>
      <c r="D72" s="389"/>
      <c r="E72" s="389"/>
      <c r="F72" s="388"/>
      <c r="G72" s="388"/>
      <c r="H72" s="388"/>
      <c r="I72" s="388"/>
      <c r="J72" s="388"/>
    </row>
    <row r="73" spans="1:10" ht="13.5" x14ac:dyDescent="0.25">
      <c r="A73" s="519" t="s">
        <v>256</v>
      </c>
      <c r="B73" s="389"/>
      <c r="C73" s="389"/>
      <c r="D73" s="389"/>
      <c r="E73" s="389">
        <v>1386</v>
      </c>
      <c r="F73" s="388">
        <v>2900</v>
      </c>
      <c r="G73" s="388">
        <v>2900</v>
      </c>
      <c r="H73" s="388">
        <v>2900</v>
      </c>
      <c r="I73" s="388">
        <v>2900</v>
      </c>
      <c r="J73" s="388"/>
    </row>
    <row r="74" spans="1:10" x14ac:dyDescent="0.2">
      <c r="A74" s="517" t="s">
        <v>1504</v>
      </c>
      <c r="B74" s="389"/>
      <c r="C74" s="389"/>
      <c r="D74" s="389">
        <v>2900</v>
      </c>
      <c r="E74" s="389"/>
      <c r="F74" s="388"/>
      <c r="G74" s="388"/>
      <c r="H74" s="388"/>
      <c r="I74" s="388"/>
      <c r="J74" s="388"/>
    </row>
    <row r="75" spans="1:10" x14ac:dyDescent="0.2">
      <c r="A75" s="517"/>
      <c r="B75" s="389"/>
      <c r="C75" s="389"/>
      <c r="D75" s="389"/>
      <c r="E75" s="389"/>
      <c r="F75" s="388"/>
      <c r="G75" s="388"/>
      <c r="H75" s="388"/>
      <c r="I75" s="388"/>
      <c r="J75" s="388"/>
    </row>
    <row r="76" spans="1:10" ht="13.5" x14ac:dyDescent="0.25">
      <c r="A76" s="519" t="s">
        <v>235</v>
      </c>
      <c r="B76" s="389"/>
      <c r="C76" s="389"/>
      <c r="D76" s="389" t="s">
        <v>418</v>
      </c>
      <c r="E76" s="389">
        <v>3047</v>
      </c>
      <c r="F76" s="388">
        <v>3215</v>
      </c>
      <c r="G76" s="388">
        <v>3215</v>
      </c>
      <c r="H76" s="388">
        <v>3215</v>
      </c>
      <c r="I76" s="388">
        <v>3215</v>
      </c>
      <c r="J76" s="388"/>
    </row>
    <row r="77" spans="1:10" x14ac:dyDescent="0.2">
      <c r="A77" s="517" t="s">
        <v>1144</v>
      </c>
      <c r="B77" s="389">
        <v>1</v>
      </c>
      <c r="C77" s="389">
        <v>300</v>
      </c>
      <c r="D77" s="389">
        <f t="shared" ref="D77:D82" si="0">ROUND(B77*C77,0)</f>
        <v>300</v>
      </c>
      <c r="E77" s="389"/>
      <c r="F77" s="388"/>
      <c r="G77" s="388"/>
      <c r="H77" s="388"/>
      <c r="I77" s="388"/>
      <c r="J77" s="388"/>
    </row>
    <row r="78" spans="1:10" x14ac:dyDescent="0.2">
      <c r="A78" s="517" t="s">
        <v>998</v>
      </c>
      <c r="B78" s="389">
        <v>4</v>
      </c>
      <c r="C78" s="389">
        <v>300</v>
      </c>
      <c r="D78" s="389">
        <f t="shared" si="0"/>
        <v>1200</v>
      </c>
      <c r="E78" s="389"/>
      <c r="F78" s="388"/>
      <c r="G78" s="388"/>
      <c r="H78" s="388"/>
      <c r="I78" s="388"/>
      <c r="J78" s="388"/>
    </row>
    <row r="79" spans="1:10" x14ac:dyDescent="0.2">
      <c r="A79" s="517" t="s">
        <v>1257</v>
      </c>
      <c r="B79" s="389">
        <v>1</v>
      </c>
      <c r="C79" s="389">
        <v>200</v>
      </c>
      <c r="D79" s="389">
        <f t="shared" si="0"/>
        <v>200</v>
      </c>
      <c r="E79" s="389"/>
      <c r="F79" s="388"/>
      <c r="G79" s="388"/>
      <c r="H79" s="388"/>
      <c r="I79" s="388"/>
      <c r="J79" s="388"/>
    </row>
    <row r="80" spans="1:10" x14ac:dyDescent="0.2">
      <c r="A80" s="517" t="s">
        <v>1258</v>
      </c>
      <c r="B80" s="389">
        <v>4</v>
      </c>
      <c r="C80" s="389">
        <v>275</v>
      </c>
      <c r="D80" s="389">
        <f t="shared" si="0"/>
        <v>1100</v>
      </c>
      <c r="E80" s="389"/>
      <c r="F80" s="388"/>
      <c r="G80" s="388"/>
      <c r="H80" s="388"/>
      <c r="I80" s="388"/>
      <c r="J80" s="388"/>
    </row>
    <row r="81" spans="1:10" x14ac:dyDescent="0.2">
      <c r="A81" s="517" t="s">
        <v>961</v>
      </c>
      <c r="B81" s="389">
        <v>5</v>
      </c>
      <c r="C81" s="389">
        <v>60</v>
      </c>
      <c r="D81" s="389">
        <f t="shared" si="0"/>
        <v>300</v>
      </c>
      <c r="E81" s="389"/>
      <c r="F81" s="388"/>
      <c r="G81" s="388"/>
      <c r="H81" s="388"/>
      <c r="I81" s="388"/>
      <c r="J81" s="388"/>
    </row>
    <row r="82" spans="1:10" s="416" customFormat="1" x14ac:dyDescent="0.2">
      <c r="A82" s="517" t="s">
        <v>2502</v>
      </c>
      <c r="B82" s="389">
        <v>1</v>
      </c>
      <c r="C82" s="389">
        <v>115</v>
      </c>
      <c r="D82" s="521">
        <f t="shared" si="0"/>
        <v>115</v>
      </c>
      <c r="E82" s="389"/>
      <c r="F82" s="388"/>
      <c r="G82" s="388"/>
      <c r="H82" s="388"/>
      <c r="I82" s="388"/>
      <c r="J82" s="388"/>
    </row>
    <row r="83" spans="1:10" x14ac:dyDescent="0.2">
      <c r="A83" s="517" t="s">
        <v>1320</v>
      </c>
      <c r="B83" s="389"/>
      <c r="C83" s="389"/>
      <c r="D83" s="389">
        <f>SUM(D77:D82)</f>
        <v>3215</v>
      </c>
      <c r="E83" s="389"/>
      <c r="F83" s="388"/>
      <c r="G83" s="388"/>
      <c r="H83" s="388"/>
      <c r="I83" s="388"/>
      <c r="J83" s="388"/>
    </row>
    <row r="84" spans="1:10" x14ac:dyDescent="0.2">
      <c r="A84" s="517"/>
      <c r="B84" s="389"/>
      <c r="C84" s="389"/>
      <c r="D84" s="389"/>
      <c r="E84" s="389"/>
      <c r="F84" s="388"/>
      <c r="G84" s="388"/>
      <c r="H84" s="388"/>
      <c r="I84" s="388"/>
      <c r="J84" s="388"/>
    </row>
    <row r="85" spans="1:10" ht="13.5" x14ac:dyDescent="0.25">
      <c r="A85" s="519" t="s">
        <v>138</v>
      </c>
      <c r="B85" s="389"/>
      <c r="C85" s="389"/>
      <c r="D85" s="389">
        <v>50</v>
      </c>
      <c r="E85" s="389">
        <v>11</v>
      </c>
      <c r="F85" s="388">
        <v>50</v>
      </c>
      <c r="G85" s="388">
        <v>50</v>
      </c>
      <c r="H85" s="388">
        <v>50</v>
      </c>
      <c r="I85" s="388">
        <v>50</v>
      </c>
      <c r="J85" s="388"/>
    </row>
    <row r="86" spans="1:10" x14ac:dyDescent="0.2">
      <c r="A86" s="517"/>
      <c r="B86" s="389"/>
      <c r="C86" s="389"/>
      <c r="D86" s="389"/>
      <c r="E86" s="389"/>
      <c r="F86" s="388"/>
      <c r="G86" s="388"/>
      <c r="H86" s="388"/>
      <c r="I86" s="388"/>
      <c r="J86" s="388"/>
    </row>
    <row r="87" spans="1:10" ht="13.5" x14ac:dyDescent="0.25">
      <c r="A87" s="519" t="s">
        <v>962</v>
      </c>
      <c r="B87" s="389"/>
      <c r="C87" s="389"/>
      <c r="D87" s="389"/>
      <c r="E87" s="389">
        <v>2001</v>
      </c>
      <c r="F87" s="388">
        <v>2492</v>
      </c>
      <c r="G87" s="388">
        <v>3079</v>
      </c>
      <c r="H87" s="388">
        <v>3079</v>
      </c>
      <c r="I87" s="388">
        <v>3079</v>
      </c>
      <c r="J87" s="388"/>
    </row>
    <row r="88" spans="1:10" x14ac:dyDescent="0.2">
      <c r="A88" s="517" t="s">
        <v>1316</v>
      </c>
      <c r="B88" s="389">
        <v>850</v>
      </c>
      <c r="C88" s="522">
        <v>3.5</v>
      </c>
      <c r="D88" s="389">
        <f>ROUND(B88*C88,0)</f>
        <v>2975</v>
      </c>
      <c r="E88" s="389"/>
      <c r="F88" s="388"/>
      <c r="G88" s="388"/>
      <c r="H88" s="388"/>
      <c r="I88" s="388"/>
      <c r="J88" s="388"/>
    </row>
    <row r="89" spans="1:10" ht="15" x14ac:dyDescent="0.35">
      <c r="A89" s="517" t="s">
        <v>475</v>
      </c>
      <c r="B89" s="389">
        <v>25</v>
      </c>
      <c r="C89" s="523">
        <v>4.1500000000000004</v>
      </c>
      <c r="D89" s="313">
        <f>ROUND(B89*C89,0)</f>
        <v>104</v>
      </c>
      <c r="E89" s="389"/>
      <c r="F89" s="388"/>
      <c r="G89" s="388"/>
      <c r="H89" s="388"/>
      <c r="I89" s="388"/>
      <c r="J89" s="388"/>
    </row>
    <row r="90" spans="1:10" x14ac:dyDescent="0.2">
      <c r="A90" s="517" t="s">
        <v>1320</v>
      </c>
      <c r="B90" s="389"/>
      <c r="C90" s="389"/>
      <c r="D90" s="389">
        <f>SUM(D88:D89)</f>
        <v>3079</v>
      </c>
      <c r="E90" s="389"/>
      <c r="F90" s="388"/>
      <c r="G90" s="388"/>
      <c r="H90" s="388"/>
      <c r="I90" s="388"/>
      <c r="J90" s="388"/>
    </row>
    <row r="91" spans="1:10" x14ac:dyDescent="0.2">
      <c r="A91" s="517"/>
      <c r="B91" s="389"/>
      <c r="C91" s="389"/>
      <c r="D91" s="389"/>
      <c r="E91" s="389"/>
      <c r="F91" s="388"/>
      <c r="G91" s="388"/>
      <c r="H91" s="388"/>
      <c r="I91" s="388"/>
      <c r="J91" s="388"/>
    </row>
    <row r="92" spans="1:10" ht="13.5" x14ac:dyDescent="0.25">
      <c r="A92" s="519" t="s">
        <v>1317</v>
      </c>
      <c r="B92" s="389"/>
      <c r="C92" s="389"/>
      <c r="D92" s="389"/>
      <c r="E92" s="389">
        <v>480</v>
      </c>
      <c r="F92" s="388">
        <v>480</v>
      </c>
      <c r="G92" s="388">
        <v>480</v>
      </c>
      <c r="H92" s="388">
        <v>480</v>
      </c>
      <c r="I92" s="388">
        <v>480</v>
      </c>
      <c r="J92" s="388"/>
    </row>
    <row r="93" spans="1:10" x14ac:dyDescent="0.2">
      <c r="A93" s="517" t="s">
        <v>320</v>
      </c>
      <c r="B93" s="389"/>
      <c r="C93" s="389"/>
      <c r="D93" s="389">
        <v>480</v>
      </c>
      <c r="E93" s="389"/>
      <c r="F93" s="388"/>
      <c r="G93" s="388"/>
      <c r="H93" s="388"/>
      <c r="I93" s="388"/>
      <c r="J93" s="388"/>
    </row>
    <row r="94" spans="1:10" x14ac:dyDescent="0.2">
      <c r="A94" s="517"/>
      <c r="B94" s="389"/>
      <c r="C94" s="389"/>
      <c r="D94" s="389"/>
      <c r="E94" s="389"/>
      <c r="F94" s="388"/>
      <c r="G94" s="388"/>
      <c r="H94" s="388"/>
      <c r="I94" s="388"/>
      <c r="J94" s="388"/>
    </row>
    <row r="95" spans="1:10" x14ac:dyDescent="0.2">
      <c r="A95" s="517"/>
      <c r="B95" s="389"/>
      <c r="C95" s="389"/>
      <c r="D95" s="389"/>
      <c r="E95" s="389"/>
      <c r="F95" s="388"/>
      <c r="G95" s="388"/>
      <c r="H95" s="388"/>
      <c r="I95" s="388"/>
      <c r="J95" s="388"/>
    </row>
    <row r="96" spans="1:10" ht="13.5" x14ac:dyDescent="0.25">
      <c r="A96" s="519" t="s">
        <v>929</v>
      </c>
      <c r="B96" s="389"/>
      <c r="C96" s="389"/>
      <c r="D96" s="389"/>
      <c r="E96" s="389">
        <v>2423</v>
      </c>
      <c r="F96" s="388">
        <v>3081</v>
      </c>
      <c r="G96" s="388">
        <v>3235</v>
      </c>
      <c r="H96" s="388">
        <v>3235</v>
      </c>
      <c r="I96" s="388">
        <v>3235</v>
      </c>
      <c r="J96" s="388"/>
    </row>
    <row r="97" spans="1:10" x14ac:dyDescent="0.2">
      <c r="A97" s="517" t="s">
        <v>1697</v>
      </c>
      <c r="B97" s="389"/>
      <c r="C97" s="389"/>
      <c r="D97" s="389">
        <v>3235</v>
      </c>
      <c r="E97" s="389"/>
      <c r="F97" s="388"/>
      <c r="G97" s="388"/>
      <c r="H97" s="388"/>
      <c r="I97" s="388"/>
      <c r="J97" s="388"/>
    </row>
    <row r="98" spans="1:10" x14ac:dyDescent="0.2">
      <c r="A98" s="517"/>
      <c r="B98" s="389"/>
      <c r="C98" s="389"/>
      <c r="D98" s="389"/>
      <c r="E98" s="389"/>
      <c r="F98" s="388"/>
      <c r="G98" s="388"/>
      <c r="H98" s="388"/>
      <c r="I98" s="388"/>
      <c r="J98" s="388"/>
    </row>
    <row r="99" spans="1:10" ht="13.5" x14ac:dyDescent="0.25">
      <c r="A99" s="519" t="s">
        <v>930</v>
      </c>
      <c r="B99" s="389"/>
      <c r="C99" s="389"/>
      <c r="D99" s="389"/>
      <c r="E99" s="389">
        <v>281</v>
      </c>
      <c r="F99" s="388">
        <v>500</v>
      </c>
      <c r="G99" s="388">
        <v>500</v>
      </c>
      <c r="H99" s="388">
        <v>500</v>
      </c>
      <c r="I99" s="388">
        <v>500</v>
      </c>
      <c r="J99" s="388"/>
    </row>
    <row r="100" spans="1:10" x14ac:dyDescent="0.2">
      <c r="A100" s="517" t="s">
        <v>644</v>
      </c>
      <c r="B100" s="389"/>
      <c r="C100" s="389"/>
      <c r="D100" s="389">
        <v>500</v>
      </c>
      <c r="E100" s="389"/>
      <c r="F100" s="388"/>
      <c r="G100" s="388"/>
      <c r="H100" s="388"/>
      <c r="I100" s="388"/>
      <c r="J100" s="388"/>
    </row>
    <row r="101" spans="1:10" x14ac:dyDescent="0.2">
      <c r="A101" s="517"/>
      <c r="B101" s="389"/>
      <c r="C101" s="389"/>
      <c r="D101" s="389"/>
      <c r="E101" s="389"/>
      <c r="F101" s="388"/>
      <c r="G101" s="388"/>
      <c r="H101" s="388"/>
      <c r="I101" s="388"/>
      <c r="J101" s="388"/>
    </row>
    <row r="102" spans="1:10" ht="13.5" x14ac:dyDescent="0.25">
      <c r="A102" s="519" t="s">
        <v>1173</v>
      </c>
      <c r="B102" s="389"/>
      <c r="C102" s="389"/>
      <c r="D102" s="389"/>
      <c r="E102" s="389">
        <v>4018</v>
      </c>
      <c r="F102" s="388">
        <v>5400</v>
      </c>
      <c r="G102" s="388">
        <v>4500</v>
      </c>
      <c r="H102" s="388">
        <v>4500</v>
      </c>
      <c r="I102" s="388">
        <v>4500</v>
      </c>
      <c r="J102" s="388"/>
    </row>
    <row r="103" spans="1:10" x14ac:dyDescent="0.2">
      <c r="A103" s="517" t="s">
        <v>2466</v>
      </c>
      <c r="B103" s="389"/>
      <c r="C103" s="389"/>
      <c r="D103" s="389">
        <v>4500</v>
      </c>
      <c r="E103" s="389"/>
      <c r="F103" s="388"/>
      <c r="G103" s="388"/>
      <c r="H103" s="388"/>
      <c r="I103" s="388"/>
      <c r="J103" s="388"/>
    </row>
    <row r="104" spans="1:10" x14ac:dyDescent="0.2">
      <c r="A104" s="517"/>
      <c r="B104" s="389"/>
      <c r="C104" s="389"/>
      <c r="D104" s="389"/>
      <c r="E104" s="389"/>
      <c r="F104" s="388"/>
      <c r="G104" s="388"/>
      <c r="H104" s="388"/>
      <c r="I104" s="388"/>
      <c r="J104" s="388"/>
    </row>
    <row r="105" spans="1:10" ht="13.5" x14ac:dyDescent="0.25">
      <c r="A105" s="519" t="s">
        <v>1174</v>
      </c>
      <c r="B105" s="389"/>
      <c r="C105" s="389"/>
      <c r="D105" s="389"/>
      <c r="E105" s="389">
        <v>92</v>
      </c>
      <c r="F105" s="388">
        <v>1000</v>
      </c>
      <c r="G105" s="388">
        <v>500</v>
      </c>
      <c r="H105" s="388">
        <v>500</v>
      </c>
      <c r="I105" s="388">
        <v>500</v>
      </c>
      <c r="J105" s="388"/>
    </row>
    <row r="106" spans="1:10" x14ac:dyDescent="0.2">
      <c r="A106" s="517" t="s">
        <v>1775</v>
      </c>
      <c r="B106" s="389"/>
      <c r="C106" s="389"/>
      <c r="D106" s="389">
        <v>500</v>
      </c>
      <c r="E106" s="389"/>
      <c r="F106" s="388"/>
      <c r="G106" s="388"/>
      <c r="H106" s="388"/>
      <c r="I106" s="388"/>
      <c r="J106" s="388"/>
    </row>
    <row r="107" spans="1:10" x14ac:dyDescent="0.2">
      <c r="A107" s="517"/>
      <c r="B107" s="389"/>
      <c r="C107" s="389"/>
      <c r="D107" s="389"/>
      <c r="E107" s="389"/>
      <c r="F107" s="388"/>
      <c r="G107" s="388"/>
      <c r="H107" s="388"/>
      <c r="I107" s="388"/>
      <c r="J107" s="388"/>
    </row>
    <row r="108" spans="1:10" ht="13.5" x14ac:dyDescent="0.25">
      <c r="A108" s="519" t="s">
        <v>1626</v>
      </c>
      <c r="B108" s="389"/>
      <c r="C108" s="389"/>
      <c r="D108" s="389"/>
      <c r="E108" s="389">
        <v>2448</v>
      </c>
      <c r="F108" s="388">
        <v>5552</v>
      </c>
      <c r="G108" s="388">
        <v>5552</v>
      </c>
      <c r="H108" s="388">
        <v>5552</v>
      </c>
      <c r="I108" s="388">
        <v>5552</v>
      </c>
      <c r="J108" s="388"/>
    </row>
    <row r="109" spans="1:10" x14ac:dyDescent="0.2">
      <c r="A109" s="517" t="s">
        <v>1833</v>
      </c>
      <c r="B109" s="389"/>
      <c r="C109" s="389"/>
      <c r="D109" s="389">
        <v>2448</v>
      </c>
      <c r="E109" s="389"/>
      <c r="F109" s="388"/>
      <c r="G109" s="388"/>
      <c r="H109" s="388"/>
      <c r="I109" s="388"/>
      <c r="J109" s="388"/>
    </row>
    <row r="110" spans="1:10" x14ac:dyDescent="0.2">
      <c r="A110" s="517" t="s">
        <v>1966</v>
      </c>
      <c r="B110" s="389"/>
      <c r="C110" s="389"/>
      <c r="D110" s="389">
        <v>2104</v>
      </c>
      <c r="E110" s="389"/>
      <c r="F110" s="388"/>
      <c r="G110" s="388"/>
      <c r="H110" s="388"/>
      <c r="I110" s="388"/>
      <c r="J110" s="388"/>
    </row>
    <row r="111" spans="1:10" ht="15" x14ac:dyDescent="0.35">
      <c r="A111" s="517" t="s">
        <v>2467</v>
      </c>
      <c r="B111" s="389"/>
      <c r="C111" s="389"/>
      <c r="D111" s="313">
        <v>1000</v>
      </c>
      <c r="E111" s="389"/>
      <c r="F111" s="388"/>
      <c r="G111" s="388"/>
      <c r="H111" s="388"/>
      <c r="I111" s="388"/>
      <c r="J111" s="388"/>
    </row>
    <row r="112" spans="1:10" x14ac:dyDescent="0.2">
      <c r="A112" s="517"/>
      <c r="B112" s="389"/>
      <c r="C112" s="389"/>
      <c r="D112" s="389">
        <f>SUM(D109:D111)</f>
        <v>5552</v>
      </c>
      <c r="E112" s="389"/>
      <c r="F112" s="388"/>
      <c r="G112" s="388"/>
      <c r="H112" s="388"/>
      <c r="I112" s="388"/>
      <c r="J112" s="388"/>
    </row>
    <row r="113" spans="1:10" x14ac:dyDescent="0.2">
      <c r="A113" s="517"/>
      <c r="B113" s="389"/>
      <c r="C113" s="389"/>
      <c r="D113" s="389"/>
      <c r="E113" s="389"/>
      <c r="F113" s="388"/>
      <c r="G113" s="388"/>
      <c r="H113" s="388"/>
      <c r="I113" s="388"/>
      <c r="J113" s="388"/>
    </row>
    <row r="114" spans="1:10" ht="13.5" x14ac:dyDescent="0.25">
      <c r="A114" s="519" t="s">
        <v>1640</v>
      </c>
      <c r="B114" s="389"/>
      <c r="C114" s="389"/>
      <c r="D114" s="389"/>
      <c r="E114" s="389">
        <v>300</v>
      </c>
      <c r="F114" s="388">
        <v>1500</v>
      </c>
      <c r="G114" s="388">
        <v>1500</v>
      </c>
      <c r="H114" s="388">
        <v>1500</v>
      </c>
      <c r="I114" s="388">
        <v>1500</v>
      </c>
      <c r="J114" s="388"/>
    </row>
    <row r="115" spans="1:10" x14ac:dyDescent="0.2">
      <c r="A115" s="517" t="s">
        <v>1776</v>
      </c>
      <c r="B115" s="389"/>
      <c r="C115" s="389"/>
      <c r="D115" s="389">
        <v>500</v>
      </c>
      <c r="E115" s="389"/>
      <c r="F115" s="388"/>
      <c r="G115" s="388"/>
      <c r="H115" s="388"/>
      <c r="I115" s="388"/>
      <c r="J115" s="388"/>
    </row>
    <row r="116" spans="1:10" ht="15" x14ac:dyDescent="0.35">
      <c r="A116" s="517" t="s">
        <v>2277</v>
      </c>
      <c r="B116" s="389"/>
      <c r="C116" s="389"/>
      <c r="D116" s="313">
        <v>1000</v>
      </c>
      <c r="E116" s="389"/>
      <c r="F116" s="388"/>
      <c r="G116" s="388"/>
      <c r="H116" s="388"/>
      <c r="I116" s="388"/>
      <c r="J116" s="388"/>
    </row>
    <row r="117" spans="1:10" x14ac:dyDescent="0.2">
      <c r="A117" s="517"/>
      <c r="B117" s="389"/>
      <c r="C117" s="389"/>
      <c r="D117" s="389">
        <f>SUM(D115:D116)</f>
        <v>1500</v>
      </c>
      <c r="E117" s="389"/>
      <c r="F117" s="388"/>
      <c r="G117" s="388"/>
      <c r="H117" s="388"/>
      <c r="I117" s="388"/>
      <c r="J117" s="388"/>
    </row>
    <row r="118" spans="1:10" x14ac:dyDescent="0.2">
      <c r="A118" s="517"/>
      <c r="B118" s="389"/>
      <c r="C118" s="389"/>
      <c r="D118" s="389"/>
      <c r="E118" s="389"/>
      <c r="F118" s="388"/>
      <c r="G118" s="388"/>
      <c r="H118" s="388"/>
      <c r="I118" s="388"/>
      <c r="J118" s="388"/>
    </row>
    <row r="119" spans="1:10" ht="13.5" x14ac:dyDescent="0.25">
      <c r="A119" s="519" t="s">
        <v>716</v>
      </c>
      <c r="B119" s="389"/>
      <c r="C119" s="389"/>
      <c r="D119" s="389"/>
      <c r="E119" s="389">
        <v>224</v>
      </c>
      <c r="F119" s="388">
        <v>200</v>
      </c>
      <c r="G119" s="388">
        <v>200</v>
      </c>
      <c r="H119" s="388">
        <v>200</v>
      </c>
      <c r="I119" s="388">
        <v>200</v>
      </c>
      <c r="J119" s="388"/>
    </row>
    <row r="120" spans="1:10" x14ac:dyDescent="0.2">
      <c r="A120" s="517" t="s">
        <v>1538</v>
      </c>
      <c r="B120" s="389"/>
      <c r="C120" s="389"/>
      <c r="D120" s="389">
        <v>200</v>
      </c>
      <c r="E120" s="389"/>
      <c r="F120" s="388"/>
      <c r="G120" s="388"/>
      <c r="H120" s="388"/>
      <c r="I120" s="388"/>
      <c r="J120" s="388"/>
    </row>
    <row r="121" spans="1:10" x14ac:dyDescent="0.2">
      <c r="A121" s="517"/>
      <c r="B121" s="389"/>
      <c r="C121" s="389"/>
      <c r="D121" s="389"/>
      <c r="E121" s="389"/>
      <c r="F121" s="388"/>
      <c r="G121" s="388"/>
      <c r="H121" s="388"/>
      <c r="I121" s="388"/>
      <c r="J121" s="388"/>
    </row>
    <row r="122" spans="1:10" ht="13.5" x14ac:dyDescent="0.25">
      <c r="A122" s="494" t="s">
        <v>454</v>
      </c>
      <c r="B122" s="389"/>
      <c r="C122" s="389"/>
      <c r="D122" s="389"/>
      <c r="E122" s="389">
        <v>0</v>
      </c>
      <c r="F122" s="388">
        <v>0</v>
      </c>
      <c r="G122" s="388">
        <f>D125</f>
        <v>14000</v>
      </c>
      <c r="H122" s="388">
        <v>0</v>
      </c>
      <c r="I122" s="388">
        <v>0</v>
      </c>
      <c r="J122" s="388"/>
    </row>
    <row r="123" spans="1:10" x14ac:dyDescent="0.2">
      <c r="A123" s="517" t="s">
        <v>2560</v>
      </c>
      <c r="B123" s="389"/>
      <c r="C123" s="389"/>
      <c r="D123" s="389">
        <v>4000</v>
      </c>
      <c r="E123" s="389"/>
      <c r="F123" s="388"/>
      <c r="G123" s="388"/>
      <c r="H123" s="388"/>
      <c r="I123" s="388"/>
      <c r="J123" s="388"/>
    </row>
    <row r="124" spans="1:10" ht="15" x14ac:dyDescent="0.35">
      <c r="A124" s="517" t="s">
        <v>2561</v>
      </c>
      <c r="B124" s="389"/>
      <c r="C124" s="389"/>
      <c r="D124" s="313">
        <v>10000</v>
      </c>
      <c r="E124" s="14">
        <v>0</v>
      </c>
      <c r="F124" s="14">
        <v>0</v>
      </c>
      <c r="G124" s="14">
        <v>0</v>
      </c>
      <c r="H124" s="14">
        <v>0</v>
      </c>
      <c r="I124" s="14">
        <v>0</v>
      </c>
      <c r="J124" s="14">
        <v>0</v>
      </c>
    </row>
    <row r="125" spans="1:10" x14ac:dyDescent="0.2">
      <c r="A125" s="517"/>
      <c r="B125" s="389"/>
      <c r="C125" s="389"/>
      <c r="D125" s="389">
        <f>SUM(D123:D124)</f>
        <v>14000</v>
      </c>
      <c r="E125" s="389"/>
      <c r="F125" s="388"/>
      <c r="G125" s="388"/>
      <c r="H125" s="388"/>
      <c r="I125" s="3"/>
      <c r="J125" s="3"/>
    </row>
    <row r="126" spans="1:10" x14ac:dyDescent="0.2">
      <c r="A126" s="491"/>
      <c r="B126" s="491"/>
      <c r="C126" s="3"/>
      <c r="D126" s="3"/>
      <c r="E126" s="3"/>
      <c r="F126" s="3"/>
      <c r="G126" s="3"/>
      <c r="H126" s="3"/>
      <c r="I126" s="3"/>
      <c r="J126" s="3"/>
    </row>
    <row r="127" spans="1:10" x14ac:dyDescent="0.2">
      <c r="A127" s="491" t="s">
        <v>1405</v>
      </c>
      <c r="B127" s="491"/>
      <c r="C127" s="3"/>
      <c r="D127" s="71"/>
      <c r="E127" s="3">
        <f t="shared" ref="E127:J127" si="1">SUM(E6:E126)</f>
        <v>481493</v>
      </c>
      <c r="F127" s="3">
        <f t="shared" si="1"/>
        <v>499132</v>
      </c>
      <c r="G127" s="3">
        <f t="shared" si="1"/>
        <v>516134</v>
      </c>
      <c r="H127" s="3">
        <f t="shared" si="1"/>
        <v>502134</v>
      </c>
      <c r="I127" s="3">
        <f t="shared" si="1"/>
        <v>502134</v>
      </c>
      <c r="J127" s="3">
        <f t="shared" si="1"/>
        <v>0</v>
      </c>
    </row>
    <row r="128" spans="1:10" x14ac:dyDescent="0.2">
      <c r="A128" s="491"/>
      <c r="B128" s="491"/>
      <c r="C128" s="491"/>
      <c r="D128" s="491"/>
      <c r="E128" s="491"/>
      <c r="H128" s="475"/>
      <c r="I128" s="413"/>
    </row>
    <row r="129" spans="1:10" x14ac:dyDescent="0.2">
      <c r="A129" s="491"/>
      <c r="B129" s="491"/>
      <c r="C129" s="491"/>
      <c r="D129" s="491"/>
      <c r="E129" s="491"/>
      <c r="H129" s="475"/>
      <c r="I129" s="413"/>
    </row>
    <row r="130" spans="1:10" x14ac:dyDescent="0.2">
      <c r="A130" s="491" t="s">
        <v>628</v>
      </c>
      <c r="B130" s="491"/>
      <c r="C130" s="71"/>
      <c r="D130" s="71"/>
      <c r="E130" s="3">
        <f t="shared" ref="E130:J130" si="2">SUM(E6:E71)</f>
        <v>464782</v>
      </c>
      <c r="F130" s="3">
        <f t="shared" si="2"/>
        <v>472762</v>
      </c>
      <c r="G130" s="3">
        <f t="shared" si="2"/>
        <v>476423</v>
      </c>
      <c r="H130" s="3">
        <f t="shared" si="2"/>
        <v>476423</v>
      </c>
      <c r="I130" s="3">
        <f t="shared" si="2"/>
        <v>476423</v>
      </c>
      <c r="J130" s="3">
        <f t="shared" si="2"/>
        <v>0</v>
      </c>
    </row>
    <row r="131" spans="1:10" x14ac:dyDescent="0.2">
      <c r="A131" s="491" t="s">
        <v>1024</v>
      </c>
      <c r="B131" s="491"/>
      <c r="C131" s="57"/>
      <c r="D131" s="71"/>
      <c r="E131" s="3">
        <f>SUM(E72:E123)</f>
        <v>16711</v>
      </c>
      <c r="F131" s="3">
        <f>SUM(F72:F123)</f>
        <v>26370</v>
      </c>
      <c r="G131" s="3">
        <f>SUM(G72:G122)</f>
        <v>39711</v>
      </c>
      <c r="H131" s="3">
        <f>SUM(H72:H122)</f>
        <v>25711</v>
      </c>
      <c r="I131" s="3">
        <f>SUM(I72:I122)</f>
        <v>25711</v>
      </c>
      <c r="J131" s="3">
        <f>SUM(J72:J123)</f>
        <v>0</v>
      </c>
    </row>
    <row r="132" spans="1:10" ht="15" x14ac:dyDescent="0.35">
      <c r="A132" s="491" t="s">
        <v>1025</v>
      </c>
      <c r="B132" s="491"/>
      <c r="C132" s="491"/>
      <c r="D132" s="491"/>
      <c r="E132" s="14">
        <f t="shared" ref="E132:J132" si="3">SUM(E124)</f>
        <v>0</v>
      </c>
      <c r="F132" s="14">
        <f t="shared" si="3"/>
        <v>0</v>
      </c>
      <c r="G132" s="14">
        <f>SUM(G124)</f>
        <v>0</v>
      </c>
      <c r="H132" s="14">
        <f>SUM(H124)</f>
        <v>0</v>
      </c>
      <c r="I132" s="14">
        <f>SUM(I124)</f>
        <v>0</v>
      </c>
      <c r="J132" s="14">
        <f t="shared" si="3"/>
        <v>0</v>
      </c>
    </row>
    <row r="133" spans="1:10" x14ac:dyDescent="0.2">
      <c r="A133" s="491" t="s">
        <v>1320</v>
      </c>
      <c r="B133" s="491"/>
      <c r="C133" s="491"/>
      <c r="D133" s="491"/>
      <c r="E133" s="3">
        <f t="shared" ref="E133:J133" si="4">SUM(E130:E132)</f>
        <v>481493</v>
      </c>
      <c r="F133" s="3">
        <f t="shared" si="4"/>
        <v>499132</v>
      </c>
      <c r="G133" s="3">
        <f t="shared" si="4"/>
        <v>516134</v>
      </c>
      <c r="H133" s="3">
        <f t="shared" ref="H133" si="5">SUM(H130:H132)</f>
        <v>502134</v>
      </c>
      <c r="I133" s="3">
        <f>SUM(I130:I132)</f>
        <v>502134</v>
      </c>
      <c r="J133" s="3">
        <f t="shared" si="4"/>
        <v>0</v>
      </c>
    </row>
    <row r="134" spans="1:10" x14ac:dyDescent="0.2">
      <c r="A134" s="491"/>
      <c r="B134" s="491"/>
      <c r="C134" s="491"/>
      <c r="D134" s="491"/>
      <c r="E134" s="491"/>
      <c r="H134" s="475"/>
      <c r="I134" s="413"/>
    </row>
    <row r="135" spans="1:10" x14ac:dyDescent="0.2">
      <c r="A135" s="491"/>
      <c r="B135" s="491"/>
      <c r="C135" s="491"/>
      <c r="D135" s="491"/>
      <c r="E135" s="491"/>
      <c r="H135" s="475"/>
      <c r="I135" s="413"/>
    </row>
    <row r="136" spans="1:10" x14ac:dyDescent="0.2">
      <c r="A136" s="491"/>
      <c r="B136" s="491"/>
      <c r="C136" s="491"/>
      <c r="D136" s="491"/>
      <c r="E136" s="491"/>
      <c r="H136" s="475"/>
      <c r="I136" s="413"/>
    </row>
    <row r="137" spans="1:10" x14ac:dyDescent="0.2">
      <c r="A137" s="491"/>
      <c r="B137" s="491"/>
      <c r="C137" s="491"/>
      <c r="D137" s="491"/>
      <c r="E137" s="491"/>
      <c r="H137" s="475"/>
      <c r="I137" s="413"/>
    </row>
    <row r="138" spans="1:10" x14ac:dyDescent="0.2">
      <c r="A138" s="491"/>
      <c r="B138" s="491"/>
      <c r="C138" s="491"/>
      <c r="D138" s="491"/>
      <c r="E138" s="491"/>
      <c r="H138" s="475"/>
      <c r="I138" s="413"/>
    </row>
    <row r="139" spans="1:10" x14ac:dyDescent="0.2">
      <c r="A139" s="491"/>
      <c r="B139" s="491"/>
      <c r="C139" s="491"/>
      <c r="D139" s="491"/>
      <c r="E139" s="491"/>
      <c r="H139" s="475"/>
      <c r="I139" s="413"/>
    </row>
    <row r="140" spans="1:10" x14ac:dyDescent="0.2">
      <c r="A140" s="491"/>
      <c r="B140" s="491"/>
      <c r="C140" s="491"/>
      <c r="D140" s="491"/>
      <c r="E140" s="491"/>
      <c r="H140" s="475"/>
      <c r="I140" s="413"/>
    </row>
    <row r="141" spans="1:10" x14ac:dyDescent="0.2">
      <c r="A141" s="491"/>
      <c r="B141" s="491"/>
      <c r="C141" s="491"/>
      <c r="D141" s="491"/>
      <c r="E141" s="491"/>
      <c r="H141" s="475"/>
      <c r="I141" s="413"/>
    </row>
    <row r="142" spans="1:10" x14ac:dyDescent="0.2">
      <c r="A142" s="491"/>
      <c r="B142" s="491"/>
      <c r="C142" s="491"/>
      <c r="D142" s="491"/>
      <c r="E142" s="491"/>
      <c r="H142" s="475"/>
      <c r="I142" s="413"/>
    </row>
    <row r="143" spans="1:10" x14ac:dyDescent="0.2">
      <c r="A143" s="491"/>
      <c r="B143" s="491"/>
      <c r="C143" s="491"/>
      <c r="D143" s="491"/>
      <c r="E143" s="491"/>
      <c r="H143" s="475"/>
      <c r="I143" s="413"/>
    </row>
    <row r="144" spans="1:10" x14ac:dyDescent="0.2">
      <c r="A144" s="491"/>
      <c r="B144" s="491"/>
      <c r="C144" s="491"/>
      <c r="D144" s="491"/>
      <c r="E144" s="491"/>
      <c r="H144" s="475"/>
      <c r="I144" s="413"/>
    </row>
    <row r="145" spans="1:9" x14ac:dyDescent="0.2">
      <c r="A145" s="491"/>
      <c r="B145" s="491"/>
      <c r="C145" s="491"/>
      <c r="D145" s="491"/>
      <c r="E145" s="491"/>
      <c r="H145" s="475"/>
      <c r="I145" s="413"/>
    </row>
    <row r="146" spans="1:9" x14ac:dyDescent="0.2">
      <c r="A146" s="491"/>
      <c r="B146" s="491"/>
      <c r="C146" s="491"/>
      <c r="D146" s="491"/>
      <c r="E146" s="491"/>
      <c r="H146" s="475"/>
      <c r="I146" s="413"/>
    </row>
    <row r="147" spans="1:9" x14ac:dyDescent="0.2">
      <c r="A147" s="491"/>
      <c r="B147" s="491"/>
      <c r="C147" s="491"/>
      <c r="D147" s="491"/>
      <c r="E147" s="491"/>
      <c r="H147" s="475"/>
      <c r="I147" s="413"/>
    </row>
    <row r="148" spans="1:9" x14ac:dyDescent="0.2">
      <c r="A148" s="491"/>
      <c r="B148" s="491"/>
      <c r="C148" s="491"/>
      <c r="D148" s="491"/>
      <c r="E148" s="491"/>
      <c r="H148" s="475"/>
      <c r="I148" s="413"/>
    </row>
    <row r="149" spans="1:9" x14ac:dyDescent="0.2">
      <c r="A149" s="491"/>
      <c r="B149" s="491"/>
      <c r="C149" s="491"/>
      <c r="D149" s="491"/>
      <c r="E149" s="491"/>
      <c r="H149" s="475"/>
      <c r="I149" s="413"/>
    </row>
    <row r="150" spans="1:9" x14ac:dyDescent="0.2">
      <c r="A150" s="491"/>
      <c r="B150" s="491"/>
      <c r="C150" s="491"/>
      <c r="D150" s="491"/>
      <c r="E150" s="491"/>
      <c r="H150" s="475"/>
      <c r="I150" s="413"/>
    </row>
    <row r="151" spans="1:9" x14ac:dyDescent="0.2">
      <c r="H151" s="475"/>
      <c r="I151" s="413"/>
    </row>
    <row r="152" spans="1:9" x14ac:dyDescent="0.2">
      <c r="H152" s="475"/>
      <c r="I152" s="413"/>
    </row>
    <row r="153" spans="1:9" x14ac:dyDescent="0.2">
      <c r="H153" s="475"/>
      <c r="I153" s="413"/>
    </row>
    <row r="154" spans="1:9" x14ac:dyDescent="0.2">
      <c r="H154" s="475"/>
      <c r="I154" s="413"/>
    </row>
    <row r="155" spans="1:9" x14ac:dyDescent="0.2">
      <c r="H155" s="475"/>
      <c r="I155" s="413"/>
    </row>
    <row r="156" spans="1:9" x14ac:dyDescent="0.2">
      <c r="H156" s="475"/>
      <c r="I156" s="413"/>
    </row>
    <row r="157" spans="1:9" x14ac:dyDescent="0.2">
      <c r="H157" s="475"/>
      <c r="I157" s="413"/>
    </row>
    <row r="158" spans="1:9" x14ac:dyDescent="0.2">
      <c r="H158" s="475"/>
      <c r="I158" s="413"/>
    </row>
    <row r="159" spans="1:9" x14ac:dyDescent="0.2">
      <c r="H159" s="475"/>
      <c r="I159" s="413"/>
    </row>
    <row r="160" spans="1:9" x14ac:dyDescent="0.2">
      <c r="H160" s="475"/>
      <c r="I160" s="413"/>
    </row>
    <row r="161" spans="8:9" x14ac:dyDescent="0.2">
      <c r="H161" s="475"/>
      <c r="I161" s="413"/>
    </row>
    <row r="162" spans="8:9" x14ac:dyDescent="0.2">
      <c r="H162" s="475"/>
      <c r="I162" s="413"/>
    </row>
    <row r="163" spans="8:9" x14ac:dyDescent="0.2">
      <c r="H163" s="475"/>
      <c r="I163" s="413"/>
    </row>
    <row r="164" spans="8:9" x14ac:dyDescent="0.2">
      <c r="H164" s="475"/>
      <c r="I164" s="413"/>
    </row>
    <row r="165" spans="8:9" x14ac:dyDescent="0.2">
      <c r="H165" s="475"/>
      <c r="I165" s="413"/>
    </row>
    <row r="166" spans="8:9" x14ac:dyDescent="0.2">
      <c r="H166" s="475"/>
      <c r="I166" s="413"/>
    </row>
    <row r="167" spans="8:9" x14ac:dyDescent="0.2">
      <c r="H167" s="475"/>
      <c r="I167" s="413"/>
    </row>
    <row r="168" spans="8:9" x14ac:dyDescent="0.2">
      <c r="H168" s="475"/>
      <c r="I168" s="413"/>
    </row>
    <row r="169" spans="8:9" x14ac:dyDescent="0.2">
      <c r="H169" s="475"/>
      <c r="I169" s="413"/>
    </row>
    <row r="170" spans="8:9" x14ac:dyDescent="0.2">
      <c r="H170" s="475"/>
      <c r="I170" s="413"/>
    </row>
    <row r="171" spans="8:9" x14ac:dyDescent="0.2">
      <c r="H171" s="475"/>
      <c r="I171" s="413"/>
    </row>
    <row r="172" spans="8:9" x14ac:dyDescent="0.2">
      <c r="H172" s="475"/>
      <c r="I172" s="413"/>
    </row>
    <row r="173" spans="8:9" x14ac:dyDescent="0.2">
      <c r="H173" s="475"/>
      <c r="I173" s="413"/>
    </row>
    <row r="174" spans="8:9" x14ac:dyDescent="0.2">
      <c r="H174" s="475"/>
      <c r="I174" s="413"/>
    </row>
    <row r="175" spans="8:9" x14ac:dyDescent="0.2">
      <c r="H175" s="475"/>
      <c r="I175" s="413"/>
    </row>
    <row r="176" spans="8:9" x14ac:dyDescent="0.2">
      <c r="H176" s="475"/>
      <c r="I176" s="413"/>
    </row>
    <row r="177" spans="8:9" x14ac:dyDescent="0.2">
      <c r="H177" s="475"/>
      <c r="I177" s="413"/>
    </row>
    <row r="178" spans="8:9" x14ac:dyDescent="0.2">
      <c r="H178" s="475"/>
      <c r="I178" s="413"/>
    </row>
    <row r="179" spans="8:9" x14ac:dyDescent="0.2">
      <c r="H179" s="475"/>
      <c r="I179" s="413"/>
    </row>
    <row r="180" spans="8:9" x14ac:dyDescent="0.2">
      <c r="H180" s="475"/>
      <c r="I180" s="413"/>
    </row>
    <row r="181" spans="8:9" x14ac:dyDescent="0.2">
      <c r="H181" s="475"/>
      <c r="I181" s="413"/>
    </row>
    <row r="182" spans="8:9" x14ac:dyDescent="0.2">
      <c r="H182" s="475"/>
      <c r="I182" s="413"/>
    </row>
    <row r="183" spans="8:9" x14ac:dyDescent="0.2">
      <c r="H183" s="475"/>
      <c r="I183" s="413"/>
    </row>
    <row r="184" spans="8:9" x14ac:dyDescent="0.2">
      <c r="H184" s="475"/>
      <c r="I184" s="413"/>
    </row>
    <row r="185" spans="8:9" x14ac:dyDescent="0.2">
      <c r="H185" s="475"/>
      <c r="I185" s="413"/>
    </row>
    <row r="186" spans="8:9" x14ac:dyDescent="0.2">
      <c r="H186" s="475"/>
      <c r="I186" s="413"/>
    </row>
    <row r="187" spans="8:9" x14ac:dyDescent="0.2">
      <c r="H187" s="475"/>
      <c r="I187" s="413"/>
    </row>
    <row r="188" spans="8:9" x14ac:dyDescent="0.2">
      <c r="H188" s="475"/>
      <c r="I188" s="413"/>
    </row>
    <row r="189" spans="8:9" x14ac:dyDescent="0.2">
      <c r="H189" s="475"/>
      <c r="I189" s="413"/>
    </row>
    <row r="190" spans="8:9" x14ac:dyDescent="0.2">
      <c r="H190" s="475"/>
      <c r="I190" s="413"/>
    </row>
    <row r="191" spans="8:9" x14ac:dyDescent="0.2">
      <c r="H191" s="475"/>
      <c r="I191" s="413"/>
    </row>
    <row r="192" spans="8:9" x14ac:dyDescent="0.2">
      <c r="H192" s="475"/>
      <c r="I192" s="413"/>
    </row>
    <row r="193" spans="8:9" x14ac:dyDescent="0.2">
      <c r="H193" s="475"/>
      <c r="I193" s="413"/>
    </row>
    <row r="194" spans="8:9" x14ac:dyDescent="0.2">
      <c r="H194" s="475"/>
      <c r="I194" s="413"/>
    </row>
    <row r="195" spans="8:9" x14ac:dyDescent="0.2">
      <c r="H195" s="475"/>
      <c r="I195" s="413"/>
    </row>
    <row r="196" spans="8:9" x14ac:dyDescent="0.2">
      <c r="H196" s="475"/>
      <c r="I196" s="413"/>
    </row>
    <row r="197" spans="8:9" x14ac:dyDescent="0.2">
      <c r="H197" s="475"/>
      <c r="I197" s="413"/>
    </row>
    <row r="198" spans="8:9" x14ac:dyDescent="0.2">
      <c r="H198" s="475"/>
      <c r="I198" s="413"/>
    </row>
    <row r="199" spans="8:9" x14ac:dyDescent="0.2">
      <c r="H199" s="475"/>
      <c r="I199" s="413"/>
    </row>
    <row r="200" spans="8:9" x14ac:dyDescent="0.2">
      <c r="H200" s="475"/>
      <c r="I200" s="413"/>
    </row>
    <row r="201" spans="8:9" x14ac:dyDescent="0.2">
      <c r="H201" s="475"/>
      <c r="I201" s="413"/>
    </row>
    <row r="202" spans="8:9" x14ac:dyDescent="0.2">
      <c r="H202" s="475"/>
      <c r="I202" s="413"/>
    </row>
    <row r="203" spans="8:9" x14ac:dyDescent="0.2">
      <c r="H203" s="475"/>
      <c r="I203" s="413"/>
    </row>
    <row r="204" spans="8:9" x14ac:dyDescent="0.2">
      <c r="H204" s="475"/>
      <c r="I204" s="413"/>
    </row>
    <row r="205" spans="8:9" x14ac:dyDescent="0.2">
      <c r="I205" s="413"/>
    </row>
    <row r="206" spans="8:9" x14ac:dyDescent="0.2">
      <c r="I206" s="413"/>
    </row>
    <row r="207" spans="8:9" x14ac:dyDescent="0.2">
      <c r="I207" s="413"/>
    </row>
    <row r="208" spans="8:9" x14ac:dyDescent="0.2">
      <c r="I208" s="413"/>
    </row>
    <row r="209" spans="9:9" x14ac:dyDescent="0.2">
      <c r="I209" s="413"/>
    </row>
    <row r="210" spans="9:9" x14ac:dyDescent="0.2">
      <c r="I210" s="413"/>
    </row>
    <row r="211" spans="9:9" x14ac:dyDescent="0.2">
      <c r="I211" s="413"/>
    </row>
    <row r="212" spans="9:9" x14ac:dyDescent="0.2">
      <c r="I212" s="413"/>
    </row>
    <row r="213" spans="9:9" x14ac:dyDescent="0.2">
      <c r="I213" s="413"/>
    </row>
    <row r="214" spans="9:9" x14ac:dyDescent="0.2">
      <c r="I214" s="413"/>
    </row>
    <row r="215" spans="9:9" x14ac:dyDescent="0.2">
      <c r="I215" s="413"/>
    </row>
    <row r="216" spans="9:9" x14ac:dyDescent="0.2">
      <c r="I216" s="413"/>
    </row>
    <row r="217" spans="9:9" x14ac:dyDescent="0.2">
      <c r="I217" s="413"/>
    </row>
    <row r="218" spans="9:9" x14ac:dyDescent="0.2">
      <c r="I218" s="413"/>
    </row>
    <row r="219" spans="9:9" x14ac:dyDescent="0.2">
      <c r="I219" s="413"/>
    </row>
    <row r="220" spans="9:9" x14ac:dyDescent="0.2">
      <c r="I220" s="413"/>
    </row>
    <row r="221" spans="9:9" x14ac:dyDescent="0.2">
      <c r="I221" s="413"/>
    </row>
    <row r="222" spans="9:9" x14ac:dyDescent="0.2">
      <c r="I222" s="413"/>
    </row>
    <row r="223" spans="9:9" x14ac:dyDescent="0.2">
      <c r="I223" s="413"/>
    </row>
    <row r="224" spans="9:9" x14ac:dyDescent="0.2">
      <c r="I224" s="413"/>
    </row>
    <row r="225" spans="9:9" x14ac:dyDescent="0.2">
      <c r="I225" s="413"/>
    </row>
    <row r="226" spans="9:9" x14ac:dyDescent="0.2">
      <c r="I226" s="413"/>
    </row>
    <row r="227" spans="9:9" x14ac:dyDescent="0.2">
      <c r="I227" s="413"/>
    </row>
    <row r="228" spans="9:9" x14ac:dyDescent="0.2">
      <c r="I228" s="413"/>
    </row>
    <row r="229" spans="9:9" x14ac:dyDescent="0.2">
      <c r="I229" s="413"/>
    </row>
    <row r="230" spans="9:9" x14ac:dyDescent="0.2">
      <c r="I230" s="413"/>
    </row>
    <row r="231" spans="9:9" x14ac:dyDescent="0.2">
      <c r="I231" s="413"/>
    </row>
    <row r="232" spans="9:9" x14ac:dyDescent="0.2">
      <c r="I232" s="413"/>
    </row>
    <row r="233" spans="9:9" x14ac:dyDescent="0.2">
      <c r="I233" s="413"/>
    </row>
    <row r="234" spans="9:9" x14ac:dyDescent="0.2">
      <c r="I234" s="413"/>
    </row>
    <row r="235" spans="9:9" x14ac:dyDescent="0.2">
      <c r="I235" s="413"/>
    </row>
    <row r="236" spans="9:9" x14ac:dyDescent="0.2">
      <c r="I236" s="413"/>
    </row>
    <row r="237" spans="9:9" x14ac:dyDescent="0.2">
      <c r="I237" s="413"/>
    </row>
    <row r="238" spans="9:9" x14ac:dyDescent="0.2">
      <c r="I238" s="413"/>
    </row>
    <row r="239" spans="9:9" x14ac:dyDescent="0.2">
      <c r="I239" s="413"/>
    </row>
    <row r="240" spans="9:9" x14ac:dyDescent="0.2">
      <c r="I240" s="413"/>
    </row>
    <row r="241" spans="9:9" x14ac:dyDescent="0.2">
      <c r="I241" s="413"/>
    </row>
    <row r="242" spans="9:9" x14ac:dyDescent="0.2">
      <c r="I242" s="413"/>
    </row>
    <row r="243" spans="9:9" x14ac:dyDescent="0.2">
      <c r="I243" s="413"/>
    </row>
    <row r="244" spans="9:9" x14ac:dyDescent="0.2">
      <c r="I244" s="413"/>
    </row>
    <row r="245" spans="9:9" x14ac:dyDescent="0.2">
      <c r="I245" s="413"/>
    </row>
    <row r="246" spans="9:9" x14ac:dyDescent="0.2">
      <c r="I246" s="413"/>
    </row>
    <row r="247" spans="9:9" x14ac:dyDescent="0.2">
      <c r="I247" s="413"/>
    </row>
    <row r="248" spans="9:9" x14ac:dyDescent="0.2">
      <c r="I248" s="413"/>
    </row>
    <row r="249" spans="9:9" x14ac:dyDescent="0.2">
      <c r="I249" s="413"/>
    </row>
    <row r="250" spans="9:9" x14ac:dyDescent="0.2">
      <c r="I250" s="413"/>
    </row>
    <row r="251" spans="9:9" x14ac:dyDescent="0.2">
      <c r="I251" s="413"/>
    </row>
    <row r="252" spans="9:9" x14ac:dyDescent="0.2">
      <c r="I252" s="413"/>
    </row>
    <row r="253" spans="9:9" x14ac:dyDescent="0.2">
      <c r="I253" s="413"/>
    </row>
    <row r="254" spans="9:9" x14ac:dyDescent="0.2">
      <c r="I254" s="413"/>
    </row>
    <row r="255" spans="9:9" x14ac:dyDescent="0.2">
      <c r="I255" s="413"/>
    </row>
    <row r="256" spans="9:9" x14ac:dyDescent="0.2">
      <c r="I256" s="413"/>
    </row>
    <row r="257" spans="9:9" x14ac:dyDescent="0.2">
      <c r="I257" s="413"/>
    </row>
    <row r="258" spans="9:9" x14ac:dyDescent="0.2">
      <c r="I258" s="413"/>
    </row>
    <row r="259" spans="9:9" x14ac:dyDescent="0.2">
      <c r="I259" s="413"/>
    </row>
    <row r="260" spans="9:9" x14ac:dyDescent="0.2">
      <c r="I260" s="413"/>
    </row>
    <row r="261" spans="9:9" x14ac:dyDescent="0.2">
      <c r="I261" s="413"/>
    </row>
    <row r="262" spans="9:9" x14ac:dyDescent="0.2">
      <c r="I262" s="413"/>
    </row>
    <row r="263" spans="9:9" x14ac:dyDescent="0.2">
      <c r="I263" s="413"/>
    </row>
    <row r="264" spans="9:9" x14ac:dyDescent="0.2">
      <c r="I264" s="413"/>
    </row>
    <row r="265" spans="9:9" x14ac:dyDescent="0.2">
      <c r="I265" s="413"/>
    </row>
    <row r="266" spans="9:9" x14ac:dyDescent="0.2">
      <c r="I266" s="413"/>
    </row>
    <row r="267" spans="9:9" x14ac:dyDescent="0.2">
      <c r="I267" s="413"/>
    </row>
    <row r="268" spans="9:9" x14ac:dyDescent="0.2">
      <c r="I268" s="413"/>
    </row>
    <row r="269" spans="9:9" x14ac:dyDescent="0.2">
      <c r="I269" s="413"/>
    </row>
    <row r="270" spans="9:9" x14ac:dyDescent="0.2">
      <c r="I270" s="413"/>
    </row>
    <row r="271" spans="9:9" x14ac:dyDescent="0.2">
      <c r="I271" s="413"/>
    </row>
    <row r="272" spans="9:9" x14ac:dyDescent="0.2">
      <c r="I272" s="413"/>
    </row>
    <row r="273" spans="9:9" x14ac:dyDescent="0.2">
      <c r="I273" s="413"/>
    </row>
    <row r="274" spans="9:9" x14ac:dyDescent="0.2">
      <c r="I274" s="413"/>
    </row>
    <row r="275" spans="9:9" x14ac:dyDescent="0.2">
      <c r="I275" s="413"/>
    </row>
    <row r="276" spans="9:9" x14ac:dyDescent="0.2">
      <c r="I276" s="413"/>
    </row>
    <row r="277" spans="9:9" x14ac:dyDescent="0.2">
      <c r="I277" s="413"/>
    </row>
    <row r="278" spans="9:9" x14ac:dyDescent="0.2">
      <c r="I278" s="413"/>
    </row>
    <row r="279" spans="9:9" x14ac:dyDescent="0.2">
      <c r="I279" s="413"/>
    </row>
    <row r="280" spans="9:9" x14ac:dyDescent="0.2">
      <c r="I280" s="413"/>
    </row>
    <row r="281" spans="9:9" x14ac:dyDescent="0.2">
      <c r="I281" s="413"/>
    </row>
    <row r="282" spans="9:9" x14ac:dyDescent="0.2">
      <c r="I282" s="413"/>
    </row>
    <row r="283" spans="9:9" x14ac:dyDescent="0.2">
      <c r="I283" s="413"/>
    </row>
    <row r="284" spans="9:9" x14ac:dyDescent="0.2">
      <c r="I284" s="413"/>
    </row>
    <row r="285" spans="9:9" x14ac:dyDescent="0.2">
      <c r="I285" s="413"/>
    </row>
    <row r="286" spans="9:9" x14ac:dyDescent="0.2">
      <c r="I286" s="413"/>
    </row>
    <row r="287" spans="9:9" x14ac:dyDescent="0.2">
      <c r="I287" s="413"/>
    </row>
    <row r="288" spans="9:9" x14ac:dyDescent="0.2">
      <c r="I288" s="413"/>
    </row>
    <row r="289" spans="9:9" x14ac:dyDescent="0.2">
      <c r="I289" s="413"/>
    </row>
    <row r="290" spans="9:9" x14ac:dyDescent="0.2">
      <c r="I290" s="413"/>
    </row>
    <row r="291" spans="9:9" x14ac:dyDescent="0.2">
      <c r="I291" s="413"/>
    </row>
    <row r="292" spans="9:9" x14ac:dyDescent="0.2">
      <c r="I292" s="413"/>
    </row>
    <row r="293" spans="9:9" x14ac:dyDescent="0.2">
      <c r="I293" s="413"/>
    </row>
    <row r="294" spans="9:9" x14ac:dyDescent="0.2">
      <c r="I294" s="413"/>
    </row>
    <row r="295" spans="9:9" x14ac:dyDescent="0.2">
      <c r="I295" s="413"/>
    </row>
    <row r="296" spans="9:9" x14ac:dyDescent="0.2">
      <c r="I296" s="413"/>
    </row>
    <row r="297" spans="9:9" x14ac:dyDescent="0.2">
      <c r="I297" s="413"/>
    </row>
    <row r="298" spans="9:9" x14ac:dyDescent="0.2">
      <c r="I298" s="413"/>
    </row>
    <row r="299" spans="9:9" x14ac:dyDescent="0.2">
      <c r="I299" s="413"/>
    </row>
    <row r="300" spans="9:9" x14ac:dyDescent="0.2">
      <c r="I300" s="413"/>
    </row>
    <row r="301" spans="9:9" x14ac:dyDescent="0.2">
      <c r="I301" s="413"/>
    </row>
    <row r="302" spans="9:9" x14ac:dyDescent="0.2">
      <c r="I302" s="413"/>
    </row>
    <row r="303" spans="9:9" x14ac:dyDescent="0.2">
      <c r="I303" s="413"/>
    </row>
    <row r="304" spans="9:9" x14ac:dyDescent="0.2">
      <c r="I304" s="413"/>
    </row>
    <row r="305" spans="9:9" x14ac:dyDescent="0.2">
      <c r="I305" s="413"/>
    </row>
    <row r="306" spans="9:9" x14ac:dyDescent="0.2">
      <c r="I306" s="413"/>
    </row>
    <row r="307" spans="9:9" x14ac:dyDescent="0.2">
      <c r="I307" s="413"/>
    </row>
    <row r="308" spans="9:9" x14ac:dyDescent="0.2">
      <c r="I308" s="413"/>
    </row>
    <row r="309" spans="9:9" x14ac:dyDescent="0.2">
      <c r="I309" s="413"/>
    </row>
    <row r="310" spans="9:9" x14ac:dyDescent="0.2">
      <c r="I310" s="413"/>
    </row>
    <row r="311" spans="9:9" x14ac:dyDescent="0.2">
      <c r="I311" s="413"/>
    </row>
    <row r="312" spans="9:9" x14ac:dyDescent="0.2">
      <c r="I312" s="413"/>
    </row>
    <row r="313" spans="9:9" x14ac:dyDescent="0.2">
      <c r="I313" s="413"/>
    </row>
    <row r="314" spans="9:9" x14ac:dyDescent="0.2">
      <c r="I314" s="413"/>
    </row>
    <row r="315" spans="9:9" x14ac:dyDescent="0.2">
      <c r="I315" s="413"/>
    </row>
    <row r="316" spans="9:9" x14ac:dyDescent="0.2">
      <c r="I316" s="413"/>
    </row>
    <row r="317" spans="9:9" x14ac:dyDescent="0.2">
      <c r="I317" s="413"/>
    </row>
    <row r="318" spans="9:9" x14ac:dyDescent="0.2">
      <c r="I318" s="413"/>
    </row>
    <row r="319" spans="9:9" x14ac:dyDescent="0.2">
      <c r="I319" s="413"/>
    </row>
    <row r="320" spans="9:9" x14ac:dyDescent="0.2">
      <c r="I320" s="413"/>
    </row>
    <row r="321" spans="9:9" x14ac:dyDescent="0.2">
      <c r="I321" s="413"/>
    </row>
    <row r="322" spans="9:9" x14ac:dyDescent="0.2">
      <c r="I322" s="413"/>
    </row>
    <row r="323" spans="9:9" x14ac:dyDescent="0.2">
      <c r="I323" s="413"/>
    </row>
    <row r="324" spans="9:9" x14ac:dyDescent="0.2">
      <c r="I324" s="413"/>
    </row>
    <row r="325" spans="9:9" x14ac:dyDescent="0.2">
      <c r="I325" s="413"/>
    </row>
    <row r="326" spans="9:9" x14ac:dyDescent="0.2">
      <c r="I326" s="413"/>
    </row>
    <row r="327" spans="9:9" x14ac:dyDescent="0.2">
      <c r="I327" s="413"/>
    </row>
    <row r="328" spans="9:9" x14ac:dyDescent="0.2">
      <c r="I328" s="413"/>
    </row>
    <row r="329" spans="9:9" x14ac:dyDescent="0.2">
      <c r="I329" s="413"/>
    </row>
    <row r="330" spans="9:9" x14ac:dyDescent="0.2">
      <c r="I330" s="413"/>
    </row>
    <row r="331" spans="9:9" x14ac:dyDescent="0.2">
      <c r="I331" s="413"/>
    </row>
    <row r="332" spans="9:9" x14ac:dyDescent="0.2">
      <c r="I332" s="413"/>
    </row>
    <row r="333" spans="9:9" x14ac:dyDescent="0.2">
      <c r="I333" s="413"/>
    </row>
    <row r="334" spans="9:9" x14ac:dyDescent="0.2">
      <c r="I334" s="413"/>
    </row>
  </sheetData>
  <mergeCells count="1">
    <mergeCell ref="A1:J1"/>
  </mergeCells>
  <phoneticPr fontId="0" type="noConversion"/>
  <printOptions gridLines="1"/>
  <pageMargins left="0.75" right="0.16" top="0.51" bottom="0.22" header="0.5" footer="0.5"/>
  <pageSetup scale="85" fitToHeight="5" orientation="landscape" r:id="rId1"/>
  <headerFooter alignWithMargins="0"/>
  <rowBreaks count="1" manualBreakCount="1">
    <brk id="75" max="9"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253"/>
  <sheetViews>
    <sheetView view="pageBreakPreview" zoomScaleNormal="100" zoomScaleSheetLayoutView="100" workbookViewId="0">
      <pane ySplit="5" topLeftCell="A139" activePane="bottomLeft" state="frozen"/>
      <selection activeCell="D43" sqref="D43"/>
      <selection pane="bottomLeft" activeCell="J6" sqref="J6:J144"/>
    </sheetView>
  </sheetViews>
  <sheetFormatPr defaultColWidth="8.85546875" defaultRowHeight="12.75" x14ac:dyDescent="0.2"/>
  <cols>
    <col min="1" max="1" width="52.85546875" style="348" customWidth="1"/>
    <col min="2" max="2" width="9.5703125" style="348" customWidth="1"/>
    <col min="3" max="3" width="8.5703125" style="348" bestFit="1" customWidth="1"/>
    <col min="4" max="4" width="9.42578125" style="348" bestFit="1" customWidth="1"/>
    <col min="5" max="7" width="10.85546875" style="348" customWidth="1"/>
    <col min="8" max="8" width="14" style="348" bestFit="1" customWidth="1"/>
    <col min="9" max="10" width="10.85546875" style="348" customWidth="1"/>
    <col min="11" max="16384" width="8.85546875" style="348"/>
  </cols>
  <sheetData>
    <row r="1" spans="1:10" x14ac:dyDescent="0.2">
      <c r="A1" s="562" t="str">
        <f>'SUMMARY BY FUND'!A1:J1</f>
        <v>2023-24 BUDGET</v>
      </c>
      <c r="B1" s="563"/>
      <c r="C1" s="563"/>
      <c r="D1" s="563"/>
      <c r="E1" s="563"/>
      <c r="F1" s="563"/>
      <c r="G1" s="563"/>
      <c r="H1" s="563"/>
      <c r="I1" s="563"/>
      <c r="J1" s="563"/>
    </row>
    <row r="2" spans="1:10" ht="18.75" x14ac:dyDescent="0.3">
      <c r="A2" s="202" t="s">
        <v>1882</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19" t="s">
        <v>2163</v>
      </c>
      <c r="F5" s="419" t="s">
        <v>2290</v>
      </c>
      <c r="G5" s="419" t="s">
        <v>2507</v>
      </c>
      <c r="H5" s="419" t="s">
        <v>2507</v>
      </c>
      <c r="I5" s="419" t="s">
        <v>2507</v>
      </c>
      <c r="J5" s="419" t="s">
        <v>2507</v>
      </c>
    </row>
    <row r="6" spans="1:10" ht="13.5" x14ac:dyDescent="0.25">
      <c r="A6" s="383" t="s">
        <v>1184</v>
      </c>
      <c r="B6" s="3"/>
      <c r="C6" s="3"/>
      <c r="D6" s="3"/>
      <c r="E6" s="3">
        <f>85367+488</f>
        <v>85855</v>
      </c>
      <c r="F6" s="3">
        <v>88254</v>
      </c>
      <c r="G6" s="3">
        <v>85633</v>
      </c>
      <c r="H6" s="3">
        <v>85633</v>
      </c>
      <c r="I6" s="3">
        <v>88610</v>
      </c>
      <c r="J6" s="3"/>
    </row>
    <row r="7" spans="1:10" x14ac:dyDescent="0.2">
      <c r="A7" s="27" t="s">
        <v>1433</v>
      </c>
      <c r="B7" s="3">
        <v>52</v>
      </c>
      <c r="C7" s="3">
        <v>970.87</v>
      </c>
      <c r="D7" s="3">
        <f>ROUND(B7*C7,0)</f>
        <v>50485</v>
      </c>
      <c r="E7" s="3"/>
      <c r="F7" s="3"/>
      <c r="G7" s="3"/>
      <c r="H7" s="3"/>
      <c r="I7" s="3"/>
      <c r="J7" s="3"/>
    </row>
    <row r="8" spans="1:10" x14ac:dyDescent="0.2">
      <c r="A8" s="27" t="s">
        <v>1433</v>
      </c>
      <c r="B8" s="3">
        <v>52</v>
      </c>
      <c r="C8" s="3">
        <v>721.99</v>
      </c>
      <c r="D8" s="3">
        <f>ROUND(B8*C8,0)</f>
        <v>37543</v>
      </c>
      <c r="E8" s="3"/>
      <c r="F8" s="3"/>
      <c r="G8" s="3"/>
      <c r="H8" s="3"/>
      <c r="I8" s="3"/>
      <c r="J8" s="3"/>
    </row>
    <row r="9" spans="1:10" ht="15" x14ac:dyDescent="0.35">
      <c r="A9" s="382" t="s">
        <v>1039</v>
      </c>
      <c r="B9" s="3" t="s">
        <v>418</v>
      </c>
      <c r="C9" s="3" t="s">
        <v>418</v>
      </c>
      <c r="D9" s="14">
        <v>582</v>
      </c>
      <c r="E9" s="3"/>
      <c r="F9" s="3"/>
      <c r="G9" s="3"/>
      <c r="H9" s="3"/>
      <c r="I9" s="3"/>
      <c r="J9" s="3"/>
    </row>
    <row r="10" spans="1:10" x14ac:dyDescent="0.2">
      <c r="A10" s="382" t="s">
        <v>1320</v>
      </c>
      <c r="B10" s="3"/>
      <c r="C10" s="3"/>
      <c r="D10" s="3">
        <f>SUM(D7:D9)</f>
        <v>88610</v>
      </c>
      <c r="E10" s="3"/>
      <c r="F10" s="3"/>
      <c r="G10" s="3"/>
      <c r="H10" s="3"/>
      <c r="I10" s="3"/>
      <c r="J10" s="3"/>
    </row>
    <row r="11" spans="1:10" x14ac:dyDescent="0.2">
      <c r="A11" s="382"/>
      <c r="B11" s="15"/>
      <c r="C11" s="491"/>
      <c r="D11" s="3"/>
      <c r="E11" s="3"/>
      <c r="F11" s="3"/>
      <c r="G11" s="3"/>
      <c r="H11" s="3"/>
      <c r="I11" s="3"/>
      <c r="J11" s="3"/>
    </row>
    <row r="12" spans="1:10" ht="13.5" x14ac:dyDescent="0.25">
      <c r="A12" s="383" t="s">
        <v>989</v>
      </c>
      <c r="B12" s="382"/>
      <c r="C12" s="491"/>
      <c r="D12" s="382"/>
      <c r="E12" s="3">
        <v>30549</v>
      </c>
      <c r="F12" s="3">
        <v>43082</v>
      </c>
      <c r="G12" s="3">
        <v>43108</v>
      </c>
      <c r="H12" s="3">
        <v>43108</v>
      </c>
      <c r="I12" s="3">
        <v>44616</v>
      </c>
      <c r="J12" s="3"/>
    </row>
    <row r="13" spans="1:10" x14ac:dyDescent="0.2">
      <c r="A13" s="27" t="s">
        <v>1830</v>
      </c>
      <c r="B13" s="131">
        <v>1300</v>
      </c>
      <c r="C13" s="15">
        <v>17.16</v>
      </c>
      <c r="D13" s="3">
        <f>ROUND(B13*C13,0)</f>
        <v>22308</v>
      </c>
      <c r="E13" s="3"/>
      <c r="F13" s="3"/>
      <c r="G13" s="3"/>
      <c r="H13" s="3"/>
      <c r="I13" s="3"/>
      <c r="J13" s="3"/>
    </row>
    <row r="14" spans="1:10" ht="15" x14ac:dyDescent="0.35">
      <c r="A14" s="27" t="s">
        <v>1627</v>
      </c>
      <c r="B14" s="131">
        <v>1300</v>
      </c>
      <c r="C14" s="15">
        <v>17.16</v>
      </c>
      <c r="D14" s="14">
        <f>ROUND(B14*C14,0)</f>
        <v>22308</v>
      </c>
      <c r="E14" s="3"/>
      <c r="F14" s="3"/>
      <c r="G14" s="3"/>
      <c r="H14" s="3"/>
      <c r="I14" s="3"/>
      <c r="J14" s="3"/>
    </row>
    <row r="15" spans="1:10" ht="13.5" x14ac:dyDescent="0.25">
      <c r="A15" s="383"/>
      <c r="B15" s="382"/>
      <c r="C15" s="491"/>
      <c r="D15" s="3">
        <f>SUM(D13:D14)</f>
        <v>44616</v>
      </c>
      <c r="E15" s="3"/>
      <c r="F15" s="3"/>
      <c r="G15" s="3"/>
      <c r="H15" s="3"/>
      <c r="I15" s="3"/>
      <c r="J15" s="3"/>
    </row>
    <row r="16" spans="1:10" s="384" customFormat="1" ht="13.5" x14ac:dyDescent="0.25">
      <c r="A16" s="385"/>
      <c r="D16" s="3"/>
      <c r="E16" s="3"/>
      <c r="F16" s="3"/>
      <c r="G16" s="3"/>
      <c r="H16" s="3"/>
      <c r="I16" s="3"/>
      <c r="J16" s="3"/>
    </row>
    <row r="17" spans="1:10" ht="13.9" customHeight="1" x14ac:dyDescent="0.25">
      <c r="A17" s="383" t="s">
        <v>990</v>
      </c>
      <c r="B17" s="382"/>
      <c r="C17" s="382"/>
      <c r="D17" s="3"/>
      <c r="E17" s="3">
        <v>6070</v>
      </c>
      <c r="F17" s="3">
        <v>4963</v>
      </c>
      <c r="G17" s="3">
        <v>4815</v>
      </c>
      <c r="H17" s="3">
        <v>4815</v>
      </c>
      <c r="I17" s="3">
        <v>4815</v>
      </c>
      <c r="J17" s="3"/>
    </row>
    <row r="18" spans="1:10" x14ac:dyDescent="0.2">
      <c r="A18" s="382" t="s">
        <v>1433</v>
      </c>
      <c r="B18" s="3">
        <v>157</v>
      </c>
      <c r="C18" s="15">
        <v>30.67</v>
      </c>
      <c r="D18" s="3">
        <f>ROUND(B18*C18,0)</f>
        <v>4815</v>
      </c>
      <c r="E18" s="3"/>
      <c r="F18" s="3"/>
      <c r="G18" s="3"/>
      <c r="H18" s="3"/>
      <c r="I18" s="3"/>
      <c r="J18" s="3"/>
    </row>
    <row r="19" spans="1:10" x14ac:dyDescent="0.2">
      <c r="A19" s="382"/>
      <c r="B19" s="3"/>
      <c r="C19" s="15"/>
      <c r="D19" s="3"/>
      <c r="E19" s="3"/>
      <c r="F19" s="3"/>
      <c r="G19" s="3"/>
      <c r="H19" s="3"/>
      <c r="I19" s="3"/>
      <c r="J19" s="3"/>
    </row>
    <row r="20" spans="1:10" ht="13.5" x14ac:dyDescent="0.25">
      <c r="A20" s="383" t="s">
        <v>993</v>
      </c>
      <c r="B20" s="382"/>
      <c r="C20" s="382"/>
      <c r="D20" s="3"/>
      <c r="E20" s="3">
        <v>9721</v>
      </c>
      <c r="F20" s="3">
        <v>10427</v>
      </c>
      <c r="G20" s="3">
        <v>10217</v>
      </c>
      <c r="H20" s="3">
        <v>10217</v>
      </c>
      <c r="I20" s="3">
        <v>10560</v>
      </c>
      <c r="J20" s="3"/>
    </row>
    <row r="21" spans="1:10" x14ac:dyDescent="0.2">
      <c r="A21" s="16" t="s">
        <v>883</v>
      </c>
      <c r="B21" s="3">
        <f>+D10</f>
        <v>88610</v>
      </c>
      <c r="C21" s="17">
        <v>7.6499999999999999E-2</v>
      </c>
      <c r="D21" s="3">
        <f>ROUND(B21*C21,0)</f>
        <v>6779</v>
      </c>
      <c r="E21" s="3"/>
      <c r="F21" s="3"/>
      <c r="G21" s="3"/>
      <c r="H21" s="3"/>
      <c r="I21" s="3"/>
      <c r="J21" s="3"/>
    </row>
    <row r="22" spans="1:10" x14ac:dyDescent="0.2">
      <c r="A22" s="16" t="s">
        <v>196</v>
      </c>
      <c r="B22" s="3">
        <f>+D15</f>
        <v>44616</v>
      </c>
      <c r="C22" s="17">
        <v>7.6499999999999999E-2</v>
      </c>
      <c r="D22" s="3">
        <f>ROUND(B22*C22,0)</f>
        <v>3413</v>
      </c>
      <c r="E22" s="3"/>
      <c r="F22" s="3"/>
      <c r="G22" s="3"/>
      <c r="H22" s="3"/>
      <c r="I22" s="3"/>
      <c r="J22" s="3"/>
    </row>
    <row r="23" spans="1:10" ht="15" x14ac:dyDescent="0.35">
      <c r="A23" s="16" t="s">
        <v>197</v>
      </c>
      <c r="B23" s="3">
        <f>+D18</f>
        <v>4815</v>
      </c>
      <c r="C23" s="17">
        <v>7.6499999999999999E-2</v>
      </c>
      <c r="D23" s="14">
        <f>ROUND(B23*C23,0)</f>
        <v>368</v>
      </c>
      <c r="E23" s="3"/>
      <c r="F23" s="3"/>
      <c r="G23" s="3"/>
      <c r="H23" s="3"/>
      <c r="I23" s="3"/>
      <c r="J23" s="3"/>
    </row>
    <row r="24" spans="1:10" x14ac:dyDescent="0.2">
      <c r="A24" s="382" t="s">
        <v>1320</v>
      </c>
      <c r="B24" s="382"/>
      <c r="C24" s="382"/>
      <c r="D24" s="3">
        <f>SUM(D21:D23)</f>
        <v>10560</v>
      </c>
      <c r="E24" s="3"/>
      <c r="F24" s="3"/>
      <c r="G24" s="3"/>
      <c r="H24" s="3"/>
      <c r="I24" s="3"/>
      <c r="J24" s="3"/>
    </row>
    <row r="25" spans="1:10" x14ac:dyDescent="0.2">
      <c r="A25" s="382"/>
      <c r="B25" s="382"/>
      <c r="C25" s="382"/>
      <c r="D25" s="3"/>
      <c r="E25" s="3"/>
      <c r="F25" s="3"/>
      <c r="G25" s="3"/>
      <c r="H25" s="3"/>
      <c r="I25" s="3"/>
      <c r="J25" s="3"/>
    </row>
    <row r="26" spans="1:10" ht="13.5" x14ac:dyDescent="0.25">
      <c r="A26" s="383" t="s">
        <v>994</v>
      </c>
      <c r="B26" s="382"/>
      <c r="C26" s="382"/>
      <c r="D26" s="3"/>
      <c r="E26" s="3">
        <v>5184</v>
      </c>
      <c r="F26" s="3">
        <v>13107</v>
      </c>
      <c r="G26" s="3">
        <v>12237</v>
      </c>
      <c r="H26" s="3">
        <v>12237</v>
      </c>
      <c r="I26" s="3">
        <v>12640</v>
      </c>
      <c r="J26" s="3"/>
    </row>
    <row r="27" spans="1:10" x14ac:dyDescent="0.2">
      <c r="A27" s="16" t="s">
        <v>883</v>
      </c>
      <c r="B27" s="3">
        <f>+D10</f>
        <v>88610</v>
      </c>
      <c r="C27" s="507">
        <v>0.1353</v>
      </c>
      <c r="D27" s="3">
        <f>ROUND(B27*C27,0)</f>
        <v>11989</v>
      </c>
      <c r="E27" s="3"/>
      <c r="F27" s="3"/>
      <c r="G27" s="3"/>
      <c r="H27" s="3"/>
      <c r="I27" s="3"/>
      <c r="J27" s="3"/>
    </row>
    <row r="28" spans="1:10" ht="15" x14ac:dyDescent="0.35">
      <c r="A28" s="16" t="s">
        <v>197</v>
      </c>
      <c r="B28" s="3">
        <f>+D18</f>
        <v>4815</v>
      </c>
      <c r="C28" s="507">
        <v>0.1353</v>
      </c>
      <c r="D28" s="14">
        <f>ROUND(B28*C28,0)</f>
        <v>651</v>
      </c>
      <c r="E28" s="3"/>
      <c r="F28" s="3"/>
      <c r="G28" s="3"/>
      <c r="H28" s="3"/>
      <c r="I28" s="3"/>
      <c r="J28" s="3"/>
    </row>
    <row r="29" spans="1:10" x14ac:dyDescent="0.2">
      <c r="A29" s="491" t="s">
        <v>1320</v>
      </c>
      <c r="B29" s="491"/>
      <c r="C29" s="491"/>
      <c r="D29" s="3">
        <f>SUM(D27:D28)</f>
        <v>12640</v>
      </c>
      <c r="E29" s="3"/>
      <c r="F29" s="3"/>
      <c r="G29" s="3"/>
      <c r="H29" s="3"/>
      <c r="I29" s="3"/>
      <c r="J29" s="3"/>
    </row>
    <row r="30" spans="1:10" x14ac:dyDescent="0.2">
      <c r="A30" s="491"/>
      <c r="B30" s="491"/>
      <c r="C30" s="491"/>
      <c r="D30" s="3"/>
      <c r="E30" s="3"/>
      <c r="F30" s="3"/>
      <c r="G30" s="3"/>
      <c r="H30" s="3"/>
      <c r="I30" s="3"/>
      <c r="J30" s="3"/>
    </row>
    <row r="31" spans="1:10" ht="13.5" x14ac:dyDescent="0.25">
      <c r="A31" s="494" t="s">
        <v>995</v>
      </c>
      <c r="B31" s="491"/>
      <c r="C31" s="491"/>
      <c r="D31" s="3"/>
      <c r="E31" s="3">
        <v>34683</v>
      </c>
      <c r="F31" s="3">
        <v>38000</v>
      </c>
      <c r="G31" s="3">
        <v>40500</v>
      </c>
      <c r="H31" s="3">
        <v>40500</v>
      </c>
      <c r="I31" s="3">
        <v>40500</v>
      </c>
      <c r="J31" s="3"/>
    </row>
    <row r="32" spans="1:10" hidden="1" x14ac:dyDescent="0.2">
      <c r="A32" s="491" t="s">
        <v>440</v>
      </c>
      <c r="B32" s="3">
        <v>2</v>
      </c>
      <c r="C32" s="3">
        <v>20250</v>
      </c>
      <c r="D32" s="3">
        <f>ROUND(B32*C32,0)</f>
        <v>40500</v>
      </c>
      <c r="E32" s="3"/>
      <c r="F32" s="3"/>
      <c r="G32" s="3"/>
      <c r="H32" s="3"/>
      <c r="I32" s="3"/>
      <c r="J32" s="3"/>
    </row>
    <row r="33" spans="1:10" x14ac:dyDescent="0.2">
      <c r="A33" s="491"/>
      <c r="B33" s="491"/>
      <c r="C33" s="491"/>
      <c r="D33" s="3"/>
      <c r="E33" s="3"/>
      <c r="F33" s="3"/>
      <c r="G33" s="3"/>
      <c r="H33" s="3"/>
      <c r="I33" s="3"/>
      <c r="J33" s="3"/>
    </row>
    <row r="34" spans="1:10" ht="13.5" x14ac:dyDescent="0.25">
      <c r="A34" s="494" t="s">
        <v>1332</v>
      </c>
      <c r="B34" s="491"/>
      <c r="C34" s="491"/>
      <c r="D34" s="3"/>
      <c r="E34" s="3">
        <v>2284</v>
      </c>
      <c r="F34" s="3">
        <v>2475</v>
      </c>
      <c r="G34" s="3">
        <v>2475</v>
      </c>
      <c r="H34" s="3">
        <v>2475</v>
      </c>
      <c r="I34" s="3">
        <v>2475</v>
      </c>
      <c r="J34" s="3"/>
    </row>
    <row r="35" spans="1:10" hidden="1" x14ac:dyDescent="0.2">
      <c r="A35" s="491" t="s">
        <v>440</v>
      </c>
      <c r="B35" s="3">
        <v>2</v>
      </c>
      <c r="C35" s="3">
        <v>1375</v>
      </c>
      <c r="D35" s="3">
        <f>ROUND(B35*C35,0)</f>
        <v>2750</v>
      </c>
      <c r="E35" s="3"/>
      <c r="F35" s="3"/>
      <c r="G35" s="3"/>
      <c r="H35" s="3"/>
      <c r="I35" s="3"/>
      <c r="J35" s="3"/>
    </row>
    <row r="36" spans="1:10" ht="15" hidden="1" x14ac:dyDescent="0.35">
      <c r="A36" s="491" t="s">
        <v>243</v>
      </c>
      <c r="B36" s="491"/>
      <c r="C36" s="491"/>
      <c r="D36" s="14">
        <f>+C35*-0.1*B35</f>
        <v>-275</v>
      </c>
      <c r="E36" s="3"/>
      <c r="F36" s="3"/>
      <c r="G36" s="3"/>
      <c r="H36" s="3"/>
      <c r="I36" s="3"/>
      <c r="J36" s="3"/>
    </row>
    <row r="37" spans="1:10" hidden="1" x14ac:dyDescent="0.2">
      <c r="A37" s="491" t="s">
        <v>1320</v>
      </c>
      <c r="B37" s="491"/>
      <c r="C37" s="491"/>
      <c r="D37" s="3">
        <f>SUM(D35:D36)</f>
        <v>2475</v>
      </c>
      <c r="E37" s="3"/>
      <c r="F37" s="3"/>
      <c r="G37" s="3"/>
      <c r="H37" s="3"/>
      <c r="I37" s="3"/>
      <c r="J37" s="3"/>
    </row>
    <row r="38" spans="1:10" ht="15" x14ac:dyDescent="0.35">
      <c r="A38" s="491"/>
      <c r="B38" s="491"/>
      <c r="C38" s="491"/>
      <c r="D38" s="14"/>
      <c r="E38" s="3"/>
      <c r="F38" s="3"/>
      <c r="G38" s="3"/>
      <c r="H38" s="3"/>
      <c r="I38" s="3"/>
      <c r="J38" s="3"/>
    </row>
    <row r="39" spans="1:10" ht="13.5" x14ac:dyDescent="0.25">
      <c r="A39" s="494" t="s">
        <v>1128</v>
      </c>
      <c r="B39" s="491"/>
      <c r="C39" s="491"/>
      <c r="D39" s="3"/>
      <c r="E39" s="3">
        <v>135</v>
      </c>
      <c r="F39" s="3">
        <v>270</v>
      </c>
      <c r="G39" s="3">
        <v>290</v>
      </c>
      <c r="H39" s="3">
        <v>290</v>
      </c>
      <c r="I39" s="3">
        <v>290</v>
      </c>
      <c r="J39" s="3"/>
    </row>
    <row r="40" spans="1:10" hidden="1" x14ac:dyDescent="0.2">
      <c r="A40" s="491" t="s">
        <v>440</v>
      </c>
      <c r="B40" s="3">
        <v>2</v>
      </c>
      <c r="C40" s="3">
        <v>145</v>
      </c>
      <c r="D40" s="3">
        <f>ROUND(B40*C40,0)</f>
        <v>290</v>
      </c>
      <c r="E40" s="3"/>
      <c r="F40" s="3"/>
      <c r="G40" s="3"/>
      <c r="H40" s="3"/>
      <c r="I40" s="3"/>
      <c r="J40" s="3"/>
    </row>
    <row r="41" spans="1:10" x14ac:dyDescent="0.2">
      <c r="A41" s="491"/>
      <c r="B41" s="491"/>
      <c r="C41" s="491"/>
      <c r="D41" s="3"/>
      <c r="E41" s="3"/>
      <c r="F41" s="3"/>
      <c r="G41" s="3"/>
      <c r="H41" s="3"/>
      <c r="I41" s="3"/>
      <c r="J41" s="3"/>
    </row>
    <row r="42" spans="1:10" ht="13.5" x14ac:dyDescent="0.25">
      <c r="A42" s="494" t="s">
        <v>1348</v>
      </c>
      <c r="B42" s="491"/>
      <c r="C42" s="491"/>
      <c r="D42" s="3"/>
      <c r="E42" s="3">
        <v>837</v>
      </c>
      <c r="F42" s="3">
        <v>1050</v>
      </c>
      <c r="G42" s="3">
        <v>1130</v>
      </c>
      <c r="H42" s="3">
        <v>1130</v>
      </c>
      <c r="I42" s="3">
        <v>1130</v>
      </c>
      <c r="J42" s="3"/>
    </row>
    <row r="43" spans="1:10" hidden="1" x14ac:dyDescent="0.2">
      <c r="A43" s="491" t="s">
        <v>440</v>
      </c>
      <c r="B43" s="3">
        <v>2</v>
      </c>
      <c r="C43" s="3">
        <v>565</v>
      </c>
      <c r="D43" s="3">
        <f>ROUND(B43*C43,0)</f>
        <v>1130</v>
      </c>
      <c r="E43" s="3"/>
      <c r="F43" s="3"/>
      <c r="G43" s="3"/>
      <c r="H43" s="3"/>
      <c r="I43" s="3"/>
      <c r="J43" s="3"/>
    </row>
    <row r="44" spans="1:10" x14ac:dyDescent="0.2">
      <c r="A44" s="491"/>
      <c r="B44" s="491"/>
      <c r="C44" s="491"/>
      <c r="D44" s="3"/>
      <c r="E44" s="3"/>
      <c r="F44" s="3"/>
      <c r="G44" s="3"/>
      <c r="H44" s="3"/>
      <c r="I44" s="3"/>
      <c r="J44" s="3"/>
    </row>
    <row r="45" spans="1:10" ht="13.5" x14ac:dyDescent="0.25">
      <c r="A45" s="494" t="s">
        <v>1349</v>
      </c>
      <c r="B45" s="491"/>
      <c r="C45" s="491"/>
      <c r="D45" s="3"/>
      <c r="E45" s="3">
        <v>3382</v>
      </c>
      <c r="F45" s="3">
        <v>4020</v>
      </c>
      <c r="G45" s="3">
        <v>3653</v>
      </c>
      <c r="H45" s="3">
        <v>3653</v>
      </c>
      <c r="I45" s="3">
        <v>3776</v>
      </c>
      <c r="J45" s="3"/>
    </row>
    <row r="46" spans="1:10" x14ac:dyDescent="0.2">
      <c r="A46" s="16" t="s">
        <v>883</v>
      </c>
      <c r="B46" s="3">
        <f>+D10</f>
        <v>88610</v>
      </c>
      <c r="C46" s="17">
        <v>2.7349999999999999E-2</v>
      </c>
      <c r="D46" s="3">
        <f>ROUND(B46*C46,0)</f>
        <v>2423</v>
      </c>
      <c r="E46" s="3"/>
      <c r="F46" s="3"/>
      <c r="G46" s="3"/>
      <c r="H46" s="3"/>
      <c r="I46" s="3"/>
      <c r="J46" s="3"/>
    </row>
    <row r="47" spans="1:10" x14ac:dyDescent="0.2">
      <c r="A47" s="16" t="s">
        <v>196</v>
      </c>
      <c r="B47" s="3">
        <f>+B22</f>
        <v>44616</v>
      </c>
      <c r="C47" s="17">
        <v>2.7349999999999999E-2</v>
      </c>
      <c r="D47" s="3">
        <f>ROUND(B47*C47,0)</f>
        <v>1220</v>
      </c>
      <c r="E47" s="3"/>
      <c r="F47" s="3"/>
      <c r="G47" s="3"/>
      <c r="H47" s="3"/>
      <c r="I47" s="3"/>
      <c r="J47" s="3"/>
    </row>
    <row r="48" spans="1:10" ht="15" x14ac:dyDescent="0.35">
      <c r="A48" s="16" t="s">
        <v>1926</v>
      </c>
      <c r="B48" s="3">
        <f>ROUND(D18,0)</f>
        <v>4815</v>
      </c>
      <c r="C48" s="17">
        <v>2.7349999999999999E-2</v>
      </c>
      <c r="D48" s="14">
        <f>ROUND(B48*C48,0)</f>
        <v>132</v>
      </c>
      <c r="E48" s="3"/>
      <c r="F48" s="3"/>
      <c r="G48" s="3"/>
      <c r="H48" s="3"/>
      <c r="I48" s="3"/>
      <c r="J48" s="3"/>
    </row>
    <row r="49" spans="1:10" x14ac:dyDescent="0.2">
      <c r="A49" s="491" t="s">
        <v>1320</v>
      </c>
      <c r="B49" s="491"/>
      <c r="C49" s="491"/>
      <c r="D49" s="3">
        <f>SUM(D46:D48)</f>
        <v>3775</v>
      </c>
      <c r="E49" s="3"/>
      <c r="F49" s="3"/>
      <c r="G49" s="3"/>
      <c r="H49" s="3"/>
      <c r="I49" s="3"/>
      <c r="J49" s="3"/>
    </row>
    <row r="50" spans="1:10" x14ac:dyDescent="0.2">
      <c r="A50" s="491"/>
      <c r="B50" s="491"/>
      <c r="C50" s="491"/>
      <c r="D50" s="3"/>
      <c r="E50" s="3"/>
      <c r="F50" s="3"/>
      <c r="G50" s="3"/>
      <c r="H50" s="3"/>
      <c r="I50" s="3"/>
      <c r="J50" s="3"/>
    </row>
    <row r="51" spans="1:10" ht="13.5" x14ac:dyDescent="0.25">
      <c r="A51" s="494" t="s">
        <v>1591</v>
      </c>
      <c r="B51" s="491"/>
      <c r="C51" s="491"/>
      <c r="D51" s="3"/>
      <c r="E51" s="3">
        <v>51</v>
      </c>
      <c r="F51" s="3">
        <v>80</v>
      </c>
      <c r="G51" s="3">
        <v>80</v>
      </c>
      <c r="H51" s="3">
        <v>80</v>
      </c>
      <c r="I51" s="3">
        <v>80</v>
      </c>
      <c r="J51" s="3"/>
    </row>
    <row r="52" spans="1:10" x14ac:dyDescent="0.2">
      <c r="A52" s="16" t="s">
        <v>883</v>
      </c>
      <c r="B52" s="3">
        <v>2</v>
      </c>
      <c r="C52" s="3">
        <v>20</v>
      </c>
      <c r="D52" s="3">
        <f>ROUND(B52*C52,0)</f>
        <v>40</v>
      </c>
      <c r="E52" s="3"/>
      <c r="F52" s="3"/>
      <c r="G52" s="3"/>
      <c r="H52" s="3"/>
      <c r="I52" s="3"/>
      <c r="J52" s="3"/>
    </row>
    <row r="53" spans="1:10" ht="15" x14ac:dyDescent="0.35">
      <c r="A53" s="36" t="s">
        <v>1988</v>
      </c>
      <c r="B53" s="3">
        <v>2</v>
      </c>
      <c r="C53" s="3">
        <v>20</v>
      </c>
      <c r="D53" s="14">
        <f>ROUND(B53*C53,0)</f>
        <v>40</v>
      </c>
      <c r="E53" s="3"/>
      <c r="F53" s="3"/>
      <c r="G53" s="3"/>
      <c r="H53" s="3"/>
      <c r="I53" s="3"/>
      <c r="J53" s="3"/>
    </row>
    <row r="54" spans="1:10" x14ac:dyDescent="0.2">
      <c r="A54" s="16"/>
      <c r="B54" s="3"/>
      <c r="C54" s="3"/>
      <c r="D54" s="3">
        <f>SUM(D52:D53)</f>
        <v>80</v>
      </c>
      <c r="E54" s="3"/>
      <c r="F54" s="3"/>
      <c r="G54" s="3"/>
      <c r="H54" s="3"/>
      <c r="I54" s="3"/>
      <c r="J54" s="3"/>
    </row>
    <row r="55" spans="1:10" x14ac:dyDescent="0.2">
      <c r="A55" s="491"/>
      <c r="B55" s="491"/>
      <c r="C55" s="491"/>
      <c r="D55" s="3"/>
      <c r="E55" s="3"/>
      <c r="F55" s="418"/>
      <c r="G55" s="382"/>
      <c r="H55" s="475"/>
      <c r="I55" s="557"/>
      <c r="J55" s="557"/>
    </row>
    <row r="56" spans="1:10" ht="13.5" x14ac:dyDescent="0.25">
      <c r="A56" s="494" t="s">
        <v>2006</v>
      </c>
      <c r="B56" s="491"/>
      <c r="C56" s="491"/>
      <c r="D56" s="3"/>
      <c r="E56" s="3">
        <v>0</v>
      </c>
      <c r="F56" s="3">
        <v>0</v>
      </c>
      <c r="G56" s="3">
        <v>0</v>
      </c>
      <c r="H56" s="3">
        <v>0</v>
      </c>
      <c r="I56" s="3">
        <v>0</v>
      </c>
      <c r="J56" s="3"/>
    </row>
    <row r="57" spans="1:10" x14ac:dyDescent="0.2">
      <c r="A57" s="491"/>
      <c r="B57" s="491"/>
      <c r="C57" s="491"/>
      <c r="D57" s="3"/>
      <c r="E57" s="3"/>
      <c r="F57" s="453"/>
      <c r="G57" s="453"/>
      <c r="H57" s="475"/>
      <c r="I57" s="557"/>
      <c r="J57" s="557"/>
    </row>
    <row r="58" spans="1:10" ht="13.5" x14ac:dyDescent="0.25">
      <c r="A58" s="494" t="s">
        <v>31</v>
      </c>
      <c r="B58" s="491"/>
      <c r="C58" s="491"/>
      <c r="D58" s="3" t="s">
        <v>418</v>
      </c>
      <c r="E58" s="3">
        <v>900</v>
      </c>
      <c r="F58" s="3">
        <v>1000</v>
      </c>
      <c r="G58" s="3">
        <v>1000</v>
      </c>
      <c r="H58" s="3">
        <v>1000</v>
      </c>
      <c r="I58" s="3">
        <v>1000</v>
      </c>
      <c r="J58" s="3"/>
    </row>
    <row r="59" spans="1:10" x14ac:dyDescent="0.2">
      <c r="A59" s="491" t="s">
        <v>703</v>
      </c>
      <c r="B59" s="3">
        <v>2</v>
      </c>
      <c r="C59" s="3">
        <v>300</v>
      </c>
      <c r="D59" s="3">
        <f>ROUND(B59*C59,0)</f>
        <v>600</v>
      </c>
      <c r="E59" s="3"/>
      <c r="F59" s="3"/>
      <c r="G59" s="3"/>
      <c r="H59" s="3"/>
      <c r="I59" s="3"/>
      <c r="J59" s="3"/>
    </row>
    <row r="60" spans="1:10" ht="15" x14ac:dyDescent="0.35">
      <c r="A60" s="491" t="s">
        <v>1146</v>
      </c>
      <c r="B60" s="3">
        <v>4</v>
      </c>
      <c r="C60" s="3">
        <v>100</v>
      </c>
      <c r="D60" s="14">
        <v>400</v>
      </c>
      <c r="E60" s="3"/>
      <c r="F60" s="3"/>
      <c r="G60" s="3"/>
      <c r="H60" s="3"/>
      <c r="I60" s="3"/>
      <c r="J60" s="3"/>
    </row>
    <row r="61" spans="1:10" x14ac:dyDescent="0.2">
      <c r="A61" s="491"/>
      <c r="B61" s="3"/>
      <c r="C61" s="3"/>
      <c r="D61" s="3">
        <f>SUM(D59:D60)</f>
        <v>1000</v>
      </c>
      <c r="E61" s="3"/>
      <c r="F61" s="3"/>
      <c r="G61" s="3"/>
      <c r="H61" s="3"/>
      <c r="I61" s="3"/>
      <c r="J61" s="3"/>
    </row>
    <row r="62" spans="1:10" x14ac:dyDescent="0.2">
      <c r="A62" s="491"/>
      <c r="B62" s="491"/>
      <c r="C62" s="3"/>
      <c r="D62" s="3"/>
      <c r="E62" s="3"/>
      <c r="F62" s="3"/>
      <c r="G62" s="3"/>
      <c r="H62" s="3"/>
      <c r="I62" s="3"/>
      <c r="J62" s="3"/>
    </row>
    <row r="63" spans="1:10" ht="13.5" x14ac:dyDescent="0.25">
      <c r="A63" s="494" t="s">
        <v>2007</v>
      </c>
      <c r="B63" s="491"/>
      <c r="C63" s="491"/>
      <c r="D63" s="3"/>
      <c r="E63" s="3">
        <v>0</v>
      </c>
      <c r="F63" s="3">
        <v>0</v>
      </c>
      <c r="G63" s="3">
        <v>0</v>
      </c>
      <c r="H63" s="3">
        <v>0</v>
      </c>
      <c r="I63" s="3">
        <v>0</v>
      </c>
      <c r="J63" s="3"/>
    </row>
    <row r="64" spans="1:10" x14ac:dyDescent="0.2">
      <c r="A64" s="491"/>
      <c r="B64" s="491"/>
      <c r="C64" s="3"/>
      <c r="D64" s="3"/>
      <c r="E64" s="3"/>
      <c r="F64" s="3"/>
      <c r="G64" s="3"/>
      <c r="H64" s="3"/>
      <c r="I64" s="3"/>
      <c r="J64" s="3"/>
    </row>
    <row r="65" spans="1:10" ht="13.5" x14ac:dyDescent="0.25">
      <c r="A65" s="494" t="s">
        <v>1104</v>
      </c>
      <c r="B65" s="491"/>
      <c r="C65" s="3"/>
      <c r="D65" s="3"/>
      <c r="E65" s="3">
        <v>31006</v>
      </c>
      <c r="F65" s="3">
        <v>32000</v>
      </c>
      <c r="G65" s="3">
        <v>33050</v>
      </c>
      <c r="H65" s="3">
        <v>33050</v>
      </c>
      <c r="I65" s="3">
        <v>33050</v>
      </c>
      <c r="J65" s="3"/>
    </row>
    <row r="66" spans="1:10" x14ac:dyDescent="0.2">
      <c r="A66" s="491" t="s">
        <v>2094</v>
      </c>
      <c r="B66" s="491"/>
      <c r="C66" s="3"/>
      <c r="D66" s="3">
        <v>32150</v>
      </c>
      <c r="E66" s="3"/>
      <c r="F66" s="3"/>
      <c r="G66" s="3"/>
      <c r="H66" s="3"/>
      <c r="I66" s="3"/>
      <c r="J66" s="3"/>
    </row>
    <row r="67" spans="1:10" ht="15" x14ac:dyDescent="0.35">
      <c r="A67" s="491" t="s">
        <v>2095</v>
      </c>
      <c r="B67" s="491"/>
      <c r="C67" s="14"/>
      <c r="D67" s="14">
        <v>900</v>
      </c>
      <c r="E67" s="3"/>
      <c r="F67" s="3"/>
      <c r="G67" s="3"/>
      <c r="H67" s="3"/>
      <c r="I67" s="3"/>
      <c r="J67" s="3"/>
    </row>
    <row r="68" spans="1:10" x14ac:dyDescent="0.2">
      <c r="A68" s="491" t="s">
        <v>1320</v>
      </c>
      <c r="B68" s="491"/>
      <c r="C68" s="3"/>
      <c r="D68" s="3">
        <f>SUM(D66:D67)</f>
        <v>33050</v>
      </c>
      <c r="E68" s="3"/>
      <c r="F68" s="3"/>
      <c r="G68" s="3"/>
      <c r="H68" s="3"/>
      <c r="I68" s="3"/>
      <c r="J68" s="3"/>
    </row>
    <row r="69" spans="1:10" x14ac:dyDescent="0.2">
      <c r="A69" s="491"/>
      <c r="B69" s="491"/>
      <c r="C69" s="3"/>
      <c r="D69" s="3"/>
      <c r="E69" s="3"/>
      <c r="F69" s="3"/>
      <c r="G69" s="3"/>
      <c r="H69" s="3"/>
      <c r="I69" s="3"/>
      <c r="J69" s="3"/>
    </row>
    <row r="70" spans="1:10" ht="13.5" x14ac:dyDescent="0.25">
      <c r="A70" s="494" t="s">
        <v>406</v>
      </c>
      <c r="B70" s="491"/>
      <c r="C70" s="3"/>
      <c r="D70" s="3"/>
      <c r="E70" s="3">
        <v>11032</v>
      </c>
      <c r="F70" s="3">
        <v>10600</v>
      </c>
      <c r="G70" s="3">
        <v>11400</v>
      </c>
      <c r="H70" s="3">
        <v>11400</v>
      </c>
      <c r="I70" s="3">
        <v>11400</v>
      </c>
      <c r="J70" s="3"/>
    </row>
    <row r="71" spans="1:10" x14ac:dyDescent="0.2">
      <c r="A71" s="491" t="s">
        <v>1363</v>
      </c>
      <c r="B71" s="491"/>
      <c r="C71" s="3"/>
      <c r="D71" s="3">
        <v>9800</v>
      </c>
      <c r="E71" s="3"/>
      <c r="F71" s="3"/>
      <c r="G71" s="3"/>
      <c r="H71" s="3"/>
      <c r="I71" s="3"/>
      <c r="J71" s="3"/>
    </row>
    <row r="72" spans="1:10" ht="15" x14ac:dyDescent="0.35">
      <c r="A72" s="112" t="s">
        <v>1007</v>
      </c>
      <c r="B72" s="491"/>
      <c r="C72" s="3"/>
      <c r="D72" s="14">
        <v>1600</v>
      </c>
      <c r="E72" s="3"/>
      <c r="F72" s="3"/>
      <c r="G72" s="3"/>
      <c r="H72" s="3"/>
      <c r="I72" s="3"/>
      <c r="J72" s="3"/>
    </row>
    <row r="73" spans="1:10" x14ac:dyDescent="0.2">
      <c r="A73" s="491" t="s">
        <v>1320</v>
      </c>
      <c r="B73" s="491"/>
      <c r="C73" s="3"/>
      <c r="D73" s="3">
        <f>SUM(D71:D72)</f>
        <v>11400</v>
      </c>
      <c r="E73" s="3"/>
      <c r="F73" s="3"/>
      <c r="G73" s="3"/>
      <c r="H73" s="3"/>
      <c r="I73" s="3"/>
      <c r="J73" s="3"/>
    </row>
    <row r="74" spans="1:10" x14ac:dyDescent="0.2">
      <c r="A74" s="491"/>
      <c r="B74" s="491"/>
      <c r="C74" s="491"/>
      <c r="D74" s="3"/>
      <c r="E74" s="3"/>
      <c r="F74" s="3"/>
      <c r="G74" s="3"/>
      <c r="H74" s="3"/>
      <c r="I74" s="3"/>
      <c r="J74" s="3"/>
    </row>
    <row r="75" spans="1:10" ht="13.5" x14ac:dyDescent="0.25">
      <c r="A75" s="494" t="s">
        <v>946</v>
      </c>
      <c r="B75" s="491"/>
      <c r="C75" s="491"/>
      <c r="D75" s="3"/>
      <c r="E75" s="3">
        <v>4190</v>
      </c>
      <c r="F75" s="3">
        <v>3900</v>
      </c>
      <c r="G75" s="3">
        <v>4500</v>
      </c>
      <c r="H75" s="3">
        <v>4500</v>
      </c>
      <c r="I75" s="3">
        <v>4500</v>
      </c>
      <c r="J75" s="3"/>
    </row>
    <row r="76" spans="1:10" x14ac:dyDescent="0.2">
      <c r="A76" s="491" t="s">
        <v>2072</v>
      </c>
      <c r="B76" s="491"/>
      <c r="C76" s="3"/>
      <c r="D76" s="3">
        <v>4500</v>
      </c>
      <c r="E76" s="3"/>
      <c r="F76" s="3"/>
      <c r="G76" s="3"/>
      <c r="H76" s="3"/>
      <c r="I76" s="3"/>
      <c r="J76" s="3"/>
    </row>
    <row r="77" spans="1:10" x14ac:dyDescent="0.2">
      <c r="A77" s="491"/>
      <c r="B77" s="491"/>
      <c r="C77" s="3"/>
      <c r="D77" s="3"/>
      <c r="E77" s="3"/>
      <c r="F77" s="3"/>
      <c r="G77" s="3"/>
      <c r="H77" s="3"/>
      <c r="I77" s="3"/>
      <c r="J77" s="3"/>
    </row>
    <row r="78" spans="1:10" ht="13.5" x14ac:dyDescent="0.25">
      <c r="A78" s="494" t="s">
        <v>947</v>
      </c>
      <c r="B78" s="491"/>
      <c r="C78" s="3"/>
      <c r="D78" s="3"/>
      <c r="E78" s="3">
        <v>592</v>
      </c>
      <c r="F78" s="3">
        <v>608</v>
      </c>
      <c r="G78" s="3">
        <v>680</v>
      </c>
      <c r="H78" s="3">
        <v>680</v>
      </c>
      <c r="I78" s="3">
        <v>680</v>
      </c>
      <c r="J78" s="3"/>
    </row>
    <row r="79" spans="1:10" x14ac:dyDescent="0.2">
      <c r="A79" s="491" t="s">
        <v>2072</v>
      </c>
      <c r="B79" s="491"/>
      <c r="C79" s="3"/>
      <c r="D79" s="3">
        <v>680</v>
      </c>
      <c r="E79" s="3"/>
      <c r="F79" s="3"/>
      <c r="G79" s="3"/>
      <c r="H79" s="3"/>
      <c r="I79" s="3"/>
      <c r="J79" s="3"/>
    </row>
    <row r="80" spans="1:10" x14ac:dyDescent="0.2">
      <c r="A80" s="491"/>
      <c r="B80" s="491"/>
      <c r="C80" s="491"/>
      <c r="D80" s="3"/>
      <c r="E80" s="3"/>
      <c r="F80" s="3"/>
      <c r="G80" s="3"/>
      <c r="H80" s="3"/>
      <c r="I80" s="3"/>
      <c r="J80" s="3"/>
    </row>
    <row r="81" spans="1:10" ht="13.5" x14ac:dyDescent="0.25">
      <c r="A81" s="494" t="s">
        <v>948</v>
      </c>
      <c r="B81" s="491"/>
      <c r="C81" s="491"/>
      <c r="D81" s="3"/>
      <c r="E81" s="3">
        <v>2445</v>
      </c>
      <c r="F81" s="3">
        <v>2423</v>
      </c>
      <c r="G81" s="3">
        <v>3150</v>
      </c>
      <c r="H81" s="3">
        <v>3150</v>
      </c>
      <c r="I81" s="3">
        <v>3150</v>
      </c>
      <c r="J81" s="3"/>
    </row>
    <row r="82" spans="1:10" x14ac:dyDescent="0.2">
      <c r="A82" s="491" t="s">
        <v>1355</v>
      </c>
      <c r="B82" s="3">
        <v>900</v>
      </c>
      <c r="C82" s="15">
        <v>3.5</v>
      </c>
      <c r="D82" s="3">
        <f>ROUND(B82*C82,0)</f>
        <v>3150</v>
      </c>
      <c r="E82" s="3"/>
      <c r="F82" s="3"/>
      <c r="G82" s="3"/>
      <c r="H82" s="3"/>
      <c r="I82" s="3"/>
      <c r="J82" s="3"/>
    </row>
    <row r="83" spans="1:10" x14ac:dyDescent="0.2">
      <c r="A83" s="491"/>
      <c r="B83" s="491"/>
      <c r="C83" s="491"/>
      <c r="D83" s="3"/>
      <c r="E83" s="3"/>
      <c r="F83" s="3"/>
      <c r="G83" s="3"/>
      <c r="H83" s="3"/>
      <c r="I83" s="3"/>
      <c r="J83" s="3"/>
    </row>
    <row r="84" spans="1:10" ht="13.5" x14ac:dyDescent="0.25">
      <c r="A84" s="494" t="s">
        <v>949</v>
      </c>
      <c r="B84" s="491"/>
      <c r="C84" s="491"/>
      <c r="D84" s="3"/>
      <c r="E84" s="3">
        <v>1361</v>
      </c>
      <c r="F84" s="3">
        <v>1080</v>
      </c>
      <c r="G84" s="3">
        <v>1380</v>
      </c>
      <c r="H84" s="3">
        <v>1380</v>
      </c>
      <c r="I84" s="3">
        <v>1380</v>
      </c>
      <c r="J84" s="3"/>
    </row>
    <row r="85" spans="1:10" x14ac:dyDescent="0.2">
      <c r="A85" s="491" t="s">
        <v>84</v>
      </c>
      <c r="B85" s="3" t="s">
        <v>418</v>
      </c>
      <c r="C85" s="3"/>
      <c r="D85" s="3">
        <v>750</v>
      </c>
      <c r="E85" s="3"/>
      <c r="F85" s="3"/>
      <c r="G85" s="3"/>
      <c r="H85" s="3"/>
      <c r="I85" s="3"/>
      <c r="J85" s="3"/>
    </row>
    <row r="86" spans="1:10" ht="15" x14ac:dyDescent="0.35">
      <c r="A86" s="491" t="s">
        <v>96</v>
      </c>
      <c r="B86" s="3"/>
      <c r="C86" s="3"/>
      <c r="D86" s="14">
        <v>630</v>
      </c>
      <c r="E86" s="3"/>
      <c r="F86" s="3"/>
      <c r="G86" s="3"/>
      <c r="H86" s="3"/>
      <c r="I86" s="3"/>
      <c r="J86" s="3"/>
    </row>
    <row r="87" spans="1:10" x14ac:dyDescent="0.2">
      <c r="A87" s="491" t="s">
        <v>1320</v>
      </c>
      <c r="B87" s="3"/>
      <c r="C87" s="3"/>
      <c r="D87" s="3">
        <f>SUM(D85:D86)</f>
        <v>1380</v>
      </c>
      <c r="E87" s="3"/>
      <c r="F87" s="3"/>
      <c r="G87" s="3"/>
      <c r="H87" s="3"/>
      <c r="I87" s="3"/>
      <c r="J87" s="3"/>
    </row>
    <row r="88" spans="1:10" ht="13.5" customHeight="1" x14ac:dyDescent="0.2">
      <c r="A88" s="491"/>
      <c r="B88" s="491"/>
      <c r="C88" s="3"/>
      <c r="D88" s="3"/>
      <c r="E88" s="3"/>
      <c r="F88" s="3"/>
      <c r="G88" s="3"/>
      <c r="H88" s="3"/>
      <c r="I88" s="3"/>
      <c r="J88" s="3"/>
    </row>
    <row r="89" spans="1:10" ht="13.5" x14ac:dyDescent="0.25">
      <c r="A89" s="20" t="s">
        <v>950</v>
      </c>
      <c r="B89" s="491"/>
      <c r="C89" s="3"/>
      <c r="D89" s="3"/>
      <c r="E89" s="3">
        <v>5831</v>
      </c>
      <c r="F89" s="3">
        <v>5977</v>
      </c>
      <c r="G89" s="3">
        <v>6276</v>
      </c>
      <c r="H89" s="3">
        <v>6276</v>
      </c>
      <c r="I89" s="3">
        <v>6276</v>
      </c>
      <c r="J89" s="3"/>
    </row>
    <row r="90" spans="1:10" x14ac:dyDescent="0.2">
      <c r="A90" s="491" t="s">
        <v>1697</v>
      </c>
      <c r="B90" s="491"/>
      <c r="C90" s="3"/>
      <c r="D90" s="3">
        <v>6276</v>
      </c>
      <c r="E90" s="3"/>
      <c r="F90" s="3"/>
      <c r="G90" s="3"/>
      <c r="H90" s="3"/>
      <c r="I90" s="3"/>
      <c r="J90" s="3"/>
    </row>
    <row r="91" spans="1:10" x14ac:dyDescent="0.2">
      <c r="A91" s="491"/>
      <c r="B91" s="491"/>
      <c r="C91" s="3"/>
      <c r="D91" s="3"/>
      <c r="E91" s="3"/>
      <c r="F91" s="3"/>
      <c r="G91" s="3"/>
      <c r="H91" s="3"/>
      <c r="I91" s="3"/>
      <c r="J91" s="3"/>
    </row>
    <row r="92" spans="1:10" x14ac:dyDescent="0.2">
      <c r="A92" s="491"/>
      <c r="B92" s="491"/>
      <c r="C92" s="3"/>
      <c r="D92" s="3"/>
      <c r="E92" s="3"/>
      <c r="F92" s="3"/>
      <c r="G92" s="3"/>
      <c r="H92" s="3"/>
      <c r="I92" s="3"/>
      <c r="J92" s="3"/>
    </row>
    <row r="93" spans="1:10" ht="13.5" x14ac:dyDescent="0.25">
      <c r="A93" s="494" t="s">
        <v>951</v>
      </c>
      <c r="B93" s="491"/>
      <c r="C93" s="3"/>
      <c r="D93" s="3"/>
      <c r="E93" s="3">
        <v>50378</v>
      </c>
      <c r="F93" s="3">
        <v>49325</v>
      </c>
      <c r="G93" s="3">
        <v>49325</v>
      </c>
      <c r="H93" s="3">
        <v>49325</v>
      </c>
      <c r="I93" s="3">
        <v>49325</v>
      </c>
      <c r="J93" s="3"/>
    </row>
    <row r="94" spans="1:10" x14ac:dyDescent="0.2">
      <c r="A94" s="491" t="s">
        <v>1698</v>
      </c>
      <c r="B94" s="491"/>
      <c r="C94" s="3"/>
      <c r="D94" s="3">
        <v>5000</v>
      </c>
      <c r="E94" s="3"/>
      <c r="F94" s="3"/>
      <c r="G94" s="3"/>
      <c r="H94" s="3"/>
      <c r="I94" s="3"/>
      <c r="J94" s="3"/>
    </row>
    <row r="95" spans="1:10" x14ac:dyDescent="0.2">
      <c r="A95" s="491" t="s">
        <v>103</v>
      </c>
      <c r="B95" s="491"/>
      <c r="C95" s="3"/>
      <c r="D95" s="3">
        <v>2500</v>
      </c>
      <c r="E95" s="3"/>
      <c r="F95" s="3"/>
      <c r="G95" s="3"/>
      <c r="H95" s="3"/>
      <c r="I95" s="3"/>
      <c r="J95" s="3"/>
    </row>
    <row r="96" spans="1:10" x14ac:dyDescent="0.2">
      <c r="A96" s="491" t="s">
        <v>1387</v>
      </c>
      <c r="B96" s="491"/>
      <c r="C96" s="3"/>
      <c r="D96" s="3">
        <v>3000</v>
      </c>
      <c r="E96" s="3"/>
      <c r="F96" s="3"/>
      <c r="G96" s="3"/>
      <c r="H96" s="3"/>
      <c r="I96" s="3"/>
      <c r="J96" s="3"/>
    </row>
    <row r="97" spans="1:10" x14ac:dyDescent="0.2">
      <c r="A97" s="491" t="s">
        <v>1388</v>
      </c>
      <c r="B97" s="491"/>
      <c r="C97" s="3"/>
      <c r="D97" s="3">
        <v>500</v>
      </c>
      <c r="E97" s="3"/>
      <c r="F97" s="3"/>
      <c r="G97" s="3"/>
      <c r="H97" s="3"/>
      <c r="I97" s="3"/>
      <c r="J97" s="3"/>
    </row>
    <row r="98" spans="1:10" x14ac:dyDescent="0.2">
      <c r="A98" s="491" t="s">
        <v>1967</v>
      </c>
      <c r="B98" s="491"/>
      <c r="C98" s="3"/>
      <c r="D98" s="3">
        <v>3500</v>
      </c>
      <c r="E98" s="3"/>
      <c r="F98" s="3"/>
      <c r="G98" s="3"/>
      <c r="H98" s="3"/>
      <c r="I98" s="3"/>
      <c r="J98" s="3"/>
    </row>
    <row r="99" spans="1:10" x14ac:dyDescent="0.2">
      <c r="A99" s="491" t="s">
        <v>1831</v>
      </c>
      <c r="B99" s="491"/>
      <c r="C99" s="3"/>
      <c r="D99" s="3">
        <v>1500</v>
      </c>
      <c r="E99" s="3"/>
      <c r="F99" s="3"/>
      <c r="G99" s="3"/>
      <c r="H99" s="3"/>
      <c r="I99" s="3"/>
      <c r="J99" s="3"/>
    </row>
    <row r="100" spans="1:10" x14ac:dyDescent="0.2">
      <c r="A100" s="491" t="s">
        <v>1389</v>
      </c>
      <c r="B100" s="491"/>
      <c r="C100" s="3"/>
      <c r="D100" s="3">
        <v>1100</v>
      </c>
      <c r="E100" s="3"/>
      <c r="F100" s="3"/>
      <c r="G100" s="3"/>
      <c r="H100" s="3"/>
      <c r="I100" s="3"/>
      <c r="J100" s="3"/>
    </row>
    <row r="101" spans="1:10" x14ac:dyDescent="0.2">
      <c r="A101" s="491" t="s">
        <v>1058</v>
      </c>
      <c r="B101" s="491"/>
      <c r="C101" s="3"/>
      <c r="D101" s="3">
        <v>500</v>
      </c>
      <c r="E101" s="3"/>
      <c r="F101" s="3"/>
      <c r="G101" s="3"/>
      <c r="H101" s="3"/>
      <c r="I101" s="3"/>
      <c r="J101" s="3"/>
    </row>
    <row r="102" spans="1:10" x14ac:dyDescent="0.2">
      <c r="A102" s="9" t="s">
        <v>1099</v>
      </c>
      <c r="B102" s="9"/>
      <c r="C102" s="3"/>
      <c r="D102" s="3">
        <v>11000</v>
      </c>
      <c r="E102" s="3"/>
      <c r="F102" s="3"/>
      <c r="G102" s="3"/>
      <c r="H102" s="3"/>
      <c r="I102" s="3"/>
      <c r="J102" s="3"/>
    </row>
    <row r="103" spans="1:10" x14ac:dyDescent="0.2">
      <c r="A103" s="9" t="s">
        <v>1853</v>
      </c>
      <c r="B103" s="9"/>
      <c r="C103" s="3"/>
      <c r="D103" s="3">
        <v>795</v>
      </c>
      <c r="E103" s="3"/>
      <c r="F103" s="3"/>
      <c r="G103" s="3"/>
      <c r="H103" s="3"/>
      <c r="I103" s="3"/>
      <c r="J103" s="3"/>
    </row>
    <row r="104" spans="1:10" x14ac:dyDescent="0.2">
      <c r="A104" s="9" t="s">
        <v>2036</v>
      </c>
      <c r="B104" s="9"/>
      <c r="C104" s="3"/>
      <c r="D104" s="3">
        <v>1000</v>
      </c>
      <c r="E104" s="3"/>
      <c r="F104" s="3"/>
      <c r="G104" s="3"/>
      <c r="H104" s="3"/>
      <c r="I104" s="3"/>
      <c r="J104" s="3"/>
    </row>
    <row r="105" spans="1:10" x14ac:dyDescent="0.2">
      <c r="A105" s="9" t="s">
        <v>2037</v>
      </c>
      <c r="B105" s="9"/>
      <c r="C105" s="3"/>
      <c r="D105" s="3">
        <v>1600</v>
      </c>
      <c r="E105" s="3"/>
      <c r="F105" s="3"/>
      <c r="G105" s="3"/>
      <c r="H105" s="3"/>
      <c r="I105" s="3"/>
      <c r="J105" s="3"/>
    </row>
    <row r="106" spans="1:10" x14ac:dyDescent="0.2">
      <c r="A106" s="9" t="s">
        <v>2038</v>
      </c>
      <c r="B106" s="9"/>
      <c r="C106" s="3"/>
      <c r="D106" s="3">
        <v>1100</v>
      </c>
      <c r="E106" s="3"/>
      <c r="F106" s="3"/>
      <c r="G106" s="3"/>
      <c r="H106" s="3"/>
      <c r="I106" s="3"/>
      <c r="J106" s="3"/>
    </row>
    <row r="107" spans="1:10" x14ac:dyDescent="0.2">
      <c r="A107" s="9" t="s">
        <v>2039</v>
      </c>
      <c r="B107" s="9"/>
      <c r="C107" s="3"/>
      <c r="D107" s="3">
        <v>1000</v>
      </c>
      <c r="E107" s="3"/>
      <c r="F107" s="3"/>
      <c r="G107" s="3"/>
      <c r="H107" s="3"/>
      <c r="I107" s="3"/>
      <c r="J107" s="3"/>
    </row>
    <row r="108" spans="1:10" x14ac:dyDescent="0.2">
      <c r="A108" s="9" t="s">
        <v>1125</v>
      </c>
      <c r="B108" s="9"/>
      <c r="C108" s="3"/>
      <c r="D108" s="3">
        <v>1500</v>
      </c>
      <c r="E108" s="3"/>
      <c r="F108" s="3"/>
      <c r="G108" s="3"/>
      <c r="H108" s="3"/>
      <c r="I108" s="3"/>
      <c r="J108" s="3"/>
    </row>
    <row r="109" spans="1:10" x14ac:dyDescent="0.2">
      <c r="A109" s="9" t="s">
        <v>2460</v>
      </c>
      <c r="B109" s="9"/>
      <c r="C109" s="3"/>
      <c r="D109" s="3">
        <v>850</v>
      </c>
      <c r="E109" s="3"/>
      <c r="F109" s="3"/>
      <c r="G109" s="3"/>
      <c r="H109" s="3"/>
      <c r="I109" s="3"/>
      <c r="J109" s="3"/>
    </row>
    <row r="110" spans="1:10" x14ac:dyDescent="0.2">
      <c r="A110" s="9" t="s">
        <v>2461</v>
      </c>
      <c r="B110" s="9"/>
      <c r="C110" s="3"/>
      <c r="D110" s="3">
        <v>2000</v>
      </c>
      <c r="E110" s="3"/>
      <c r="F110" s="3"/>
      <c r="G110" s="3"/>
      <c r="H110" s="3"/>
      <c r="I110" s="3"/>
      <c r="J110" s="3"/>
    </row>
    <row r="111" spans="1:10" x14ac:dyDescent="0.2">
      <c r="A111" s="9" t="s">
        <v>2040</v>
      </c>
      <c r="B111" s="9"/>
      <c r="C111" s="3"/>
      <c r="D111" s="3">
        <v>2000</v>
      </c>
      <c r="E111" s="3"/>
      <c r="F111" s="3"/>
      <c r="G111" s="3"/>
      <c r="H111" s="3"/>
      <c r="I111" s="3"/>
      <c r="J111" s="3"/>
    </row>
    <row r="112" spans="1:10" x14ac:dyDescent="0.2">
      <c r="A112" s="9" t="s">
        <v>1784</v>
      </c>
      <c r="B112" s="9"/>
      <c r="C112" s="3"/>
      <c r="D112" s="3">
        <v>880</v>
      </c>
      <c r="E112" s="3"/>
      <c r="F112" s="3"/>
      <c r="G112" s="3"/>
      <c r="H112" s="3"/>
      <c r="I112" s="3"/>
      <c r="J112" s="3"/>
    </row>
    <row r="113" spans="1:10" ht="15" x14ac:dyDescent="0.35">
      <c r="A113" s="491" t="s">
        <v>2041</v>
      </c>
      <c r="B113" s="491"/>
      <c r="C113" s="14"/>
      <c r="D113" s="14">
        <v>8000</v>
      </c>
      <c r="E113" s="3"/>
      <c r="F113" s="3"/>
      <c r="G113" s="3"/>
      <c r="H113" s="3"/>
      <c r="I113" s="3"/>
      <c r="J113" s="3"/>
    </row>
    <row r="114" spans="1:10" x14ac:dyDescent="0.2">
      <c r="A114" s="491" t="s">
        <v>1320</v>
      </c>
      <c r="B114" s="491"/>
      <c r="C114" s="3"/>
      <c r="D114" s="3">
        <f>SUM(D94:D113)</f>
        <v>49325</v>
      </c>
      <c r="E114" s="3"/>
      <c r="F114" s="453"/>
      <c r="G114" s="453"/>
      <c r="H114" s="475"/>
      <c r="I114" s="557"/>
      <c r="J114" s="557"/>
    </row>
    <row r="115" spans="1:10" x14ac:dyDescent="0.2">
      <c r="A115" s="491"/>
      <c r="B115" s="491"/>
      <c r="C115" s="3"/>
      <c r="D115" s="3"/>
      <c r="E115" s="3"/>
      <c r="F115" s="3"/>
      <c r="G115" s="3"/>
      <c r="H115" s="3"/>
      <c r="I115" s="3"/>
      <c r="J115" s="3"/>
    </row>
    <row r="116" spans="1:10" ht="13.5" x14ac:dyDescent="0.25">
      <c r="A116" s="494" t="s">
        <v>1070</v>
      </c>
      <c r="B116" s="491"/>
      <c r="C116" s="3"/>
      <c r="D116" s="3"/>
      <c r="E116" s="3">
        <v>4650</v>
      </c>
      <c r="F116" s="3">
        <v>6000</v>
      </c>
      <c r="G116" s="3">
        <v>5800</v>
      </c>
      <c r="H116" s="3">
        <v>5800</v>
      </c>
      <c r="I116" s="3">
        <v>5800</v>
      </c>
      <c r="J116" s="3"/>
    </row>
    <row r="117" spans="1:10" x14ac:dyDescent="0.2">
      <c r="A117" s="491" t="s">
        <v>1071</v>
      </c>
      <c r="B117" s="491"/>
      <c r="C117" s="3">
        <v>750</v>
      </c>
      <c r="D117" s="3">
        <v>1000</v>
      </c>
      <c r="E117" s="3"/>
      <c r="F117" s="3"/>
      <c r="G117" s="3"/>
      <c r="H117" s="3"/>
      <c r="I117" s="3"/>
      <c r="J117" s="3"/>
    </row>
    <row r="118" spans="1:10" x14ac:dyDescent="0.2">
      <c r="A118" s="491" t="s">
        <v>1084</v>
      </c>
      <c r="B118" s="491"/>
      <c r="C118" s="3">
        <v>750</v>
      </c>
      <c r="D118" s="3">
        <v>1000</v>
      </c>
      <c r="E118" s="3"/>
      <c r="F118" s="3"/>
      <c r="G118" s="3"/>
      <c r="H118" s="3"/>
      <c r="I118" s="3"/>
      <c r="J118" s="3"/>
    </row>
    <row r="119" spans="1:10" x14ac:dyDescent="0.2">
      <c r="A119" s="491" t="s">
        <v>1777</v>
      </c>
      <c r="B119" s="491"/>
      <c r="C119" s="3">
        <v>3000</v>
      </c>
      <c r="D119" s="3">
        <v>2800</v>
      </c>
      <c r="E119" s="3"/>
      <c r="F119" s="3"/>
      <c r="G119" s="3"/>
      <c r="H119" s="3"/>
      <c r="I119" s="3"/>
      <c r="J119" s="3"/>
    </row>
    <row r="120" spans="1:10" ht="15" x14ac:dyDescent="0.35">
      <c r="A120" s="491" t="s">
        <v>2462</v>
      </c>
      <c r="B120" s="491"/>
      <c r="C120" s="14">
        <v>750</v>
      </c>
      <c r="D120" s="14">
        <v>1000</v>
      </c>
      <c r="E120" s="3"/>
      <c r="F120" s="3"/>
      <c r="G120" s="3"/>
      <c r="H120" s="3"/>
      <c r="I120" s="3"/>
      <c r="J120" s="3"/>
    </row>
    <row r="121" spans="1:10" x14ac:dyDescent="0.2">
      <c r="A121" s="491" t="s">
        <v>1320</v>
      </c>
      <c r="B121" s="491"/>
      <c r="C121" s="3">
        <f>SUM(C117:C120)</f>
        <v>5250</v>
      </c>
      <c r="D121" s="3">
        <f>SUM(D117:D120)</f>
        <v>5800</v>
      </c>
      <c r="E121" s="3"/>
      <c r="F121" s="3"/>
      <c r="G121" s="3"/>
      <c r="H121" s="3"/>
      <c r="I121" s="3"/>
      <c r="J121" s="3"/>
    </row>
    <row r="122" spans="1:10" x14ac:dyDescent="0.2">
      <c r="A122" s="491"/>
      <c r="B122" s="491"/>
      <c r="C122" s="3"/>
      <c r="D122" s="3"/>
      <c r="E122" s="3"/>
      <c r="F122" s="3"/>
      <c r="G122" s="3"/>
      <c r="H122" s="3"/>
      <c r="I122" s="3"/>
      <c r="J122" s="3"/>
    </row>
    <row r="123" spans="1:10" ht="13.5" x14ac:dyDescent="0.25">
      <c r="A123" s="494" t="s">
        <v>1552</v>
      </c>
      <c r="B123" s="491"/>
      <c r="C123" s="3"/>
      <c r="D123" s="3"/>
      <c r="E123" s="3">
        <v>610</v>
      </c>
      <c r="F123" s="3">
        <v>750</v>
      </c>
      <c r="G123" s="3">
        <v>750</v>
      </c>
      <c r="H123" s="3">
        <v>750</v>
      </c>
      <c r="I123" s="3">
        <v>750</v>
      </c>
      <c r="J123" s="3"/>
    </row>
    <row r="124" spans="1:10" x14ac:dyDescent="0.2">
      <c r="A124" s="27" t="s">
        <v>1699</v>
      </c>
      <c r="B124" s="491"/>
      <c r="C124" s="3"/>
      <c r="D124" s="3">
        <v>750</v>
      </c>
      <c r="E124" s="3"/>
      <c r="F124" s="3"/>
      <c r="G124" s="3"/>
      <c r="H124" s="3"/>
      <c r="I124" s="3"/>
      <c r="J124" s="3"/>
    </row>
    <row r="125" spans="1:10" x14ac:dyDescent="0.2">
      <c r="A125" s="491"/>
      <c r="B125" s="491"/>
      <c r="C125" s="3"/>
      <c r="D125" s="3"/>
      <c r="E125" s="3"/>
      <c r="F125" s="3"/>
      <c r="G125" s="3"/>
      <c r="H125" s="3"/>
      <c r="I125" s="3"/>
      <c r="J125" s="3"/>
    </row>
    <row r="126" spans="1:10" ht="13.5" x14ac:dyDescent="0.25">
      <c r="A126" s="494" t="s">
        <v>1163</v>
      </c>
      <c r="B126" s="491"/>
      <c r="C126" s="3"/>
      <c r="D126" s="3"/>
      <c r="E126" s="3">
        <v>1797</v>
      </c>
      <c r="F126" s="3">
        <v>500</v>
      </c>
      <c r="G126" s="3">
        <v>2000</v>
      </c>
      <c r="H126" s="3">
        <v>2000</v>
      </c>
      <c r="I126" s="3">
        <v>2000</v>
      </c>
      <c r="J126" s="3"/>
    </row>
    <row r="127" spans="1:10" x14ac:dyDescent="0.2">
      <c r="A127" s="491" t="s">
        <v>1832</v>
      </c>
      <c r="B127" s="491"/>
      <c r="C127" s="3"/>
      <c r="D127" s="3">
        <v>2000</v>
      </c>
      <c r="E127" s="3"/>
      <c r="F127" s="3"/>
      <c r="G127" s="3"/>
      <c r="H127" s="3"/>
      <c r="I127" s="3"/>
      <c r="J127" s="3"/>
    </row>
    <row r="128" spans="1:10" x14ac:dyDescent="0.2">
      <c r="A128" s="491"/>
      <c r="B128" s="491"/>
      <c r="C128" s="3"/>
      <c r="D128" s="3"/>
      <c r="E128" s="3"/>
      <c r="F128" s="3"/>
      <c r="G128" s="3"/>
      <c r="H128" s="3"/>
      <c r="I128" s="3"/>
      <c r="J128" s="3"/>
    </row>
    <row r="129" spans="1:10" x14ac:dyDescent="0.2">
      <c r="A129" s="491"/>
      <c r="B129" s="491"/>
      <c r="C129" s="3"/>
      <c r="D129" s="3"/>
      <c r="E129" s="3"/>
      <c r="F129" s="3"/>
      <c r="G129" s="3"/>
      <c r="H129" s="3"/>
      <c r="I129" s="3"/>
      <c r="J129" s="3"/>
    </row>
    <row r="130" spans="1:10" s="364" customFormat="1" ht="13.5" x14ac:dyDescent="0.25">
      <c r="A130" s="494" t="s">
        <v>2297</v>
      </c>
      <c r="B130" s="491"/>
      <c r="C130" s="3"/>
      <c r="D130" s="3"/>
      <c r="E130" s="3">
        <v>0</v>
      </c>
      <c r="F130" s="3">
        <v>250</v>
      </c>
      <c r="G130" s="3">
        <v>250</v>
      </c>
      <c r="H130" s="3">
        <v>250</v>
      </c>
      <c r="I130" s="3">
        <v>250</v>
      </c>
      <c r="J130" s="3"/>
    </row>
    <row r="131" spans="1:10" s="364" customFormat="1" x14ac:dyDescent="0.2">
      <c r="A131" s="491"/>
      <c r="B131" s="491"/>
      <c r="C131" s="3"/>
      <c r="D131" s="3">
        <v>250</v>
      </c>
      <c r="E131" s="3"/>
      <c r="F131" s="3"/>
      <c r="G131" s="3"/>
      <c r="H131" s="3"/>
      <c r="I131" s="3"/>
      <c r="J131" s="3"/>
    </row>
    <row r="132" spans="1:10" s="364" customFormat="1" x14ac:dyDescent="0.2">
      <c r="A132" s="491"/>
      <c r="B132" s="491"/>
      <c r="C132" s="3"/>
      <c r="D132" s="3"/>
      <c r="E132" s="3"/>
      <c r="F132" s="3"/>
      <c r="G132" s="3"/>
      <c r="H132" s="3"/>
      <c r="I132" s="3"/>
      <c r="J132" s="3"/>
    </row>
    <row r="133" spans="1:10" ht="13.5" x14ac:dyDescent="0.25">
      <c r="A133" s="494" t="s">
        <v>1807</v>
      </c>
      <c r="B133" s="491"/>
      <c r="C133" s="3"/>
      <c r="D133" s="3"/>
      <c r="E133" s="3">
        <v>0</v>
      </c>
      <c r="F133" s="3">
        <v>25000</v>
      </c>
      <c r="G133" s="3">
        <v>30000</v>
      </c>
      <c r="H133" s="3">
        <v>30000</v>
      </c>
      <c r="I133" s="3">
        <v>30000</v>
      </c>
      <c r="J133" s="3"/>
    </row>
    <row r="134" spans="1:10" x14ac:dyDescent="0.2">
      <c r="A134" s="491" t="s">
        <v>1968</v>
      </c>
      <c r="B134" s="491"/>
      <c r="C134" s="3"/>
      <c r="D134" s="3">
        <v>30000</v>
      </c>
      <c r="E134" s="3"/>
      <c r="F134" s="3"/>
      <c r="G134" s="3"/>
      <c r="H134" s="3"/>
      <c r="I134" s="3"/>
      <c r="J134" s="3"/>
    </row>
    <row r="135" spans="1:10" ht="13.5" x14ac:dyDescent="0.25">
      <c r="A135" s="494"/>
      <c r="B135" s="491"/>
      <c r="C135" s="3"/>
      <c r="D135" s="3"/>
      <c r="E135" s="3"/>
      <c r="F135" s="3"/>
      <c r="G135" s="3"/>
      <c r="H135" s="3"/>
      <c r="I135" s="3"/>
      <c r="J135" s="3"/>
    </row>
    <row r="136" spans="1:10" x14ac:dyDescent="0.2">
      <c r="A136" s="491"/>
      <c r="B136" s="491"/>
      <c r="C136" s="3"/>
      <c r="D136" s="3"/>
      <c r="E136" s="3"/>
      <c r="F136" s="3"/>
      <c r="G136" s="3"/>
      <c r="H136" s="3"/>
      <c r="I136" s="3"/>
      <c r="J136" s="3"/>
    </row>
    <row r="137" spans="1:10" ht="13.5" x14ac:dyDescent="0.25">
      <c r="A137" s="494" t="s">
        <v>570</v>
      </c>
      <c r="B137" s="491"/>
      <c r="C137" s="11"/>
      <c r="D137" s="11"/>
      <c r="E137" s="3">
        <v>5695</v>
      </c>
      <c r="F137" s="3">
        <v>0</v>
      </c>
      <c r="G137" s="3">
        <v>317424</v>
      </c>
      <c r="H137" s="3">
        <v>242424</v>
      </c>
      <c r="I137" s="3">
        <v>242424</v>
      </c>
      <c r="J137" s="3"/>
    </row>
    <row r="138" spans="1:10" x14ac:dyDescent="0.2">
      <c r="A138" s="491" t="s">
        <v>2559</v>
      </c>
      <c r="B138" s="491"/>
      <c r="C138" s="11"/>
      <c r="D138" s="3">
        <v>150000</v>
      </c>
      <c r="E138" s="3"/>
      <c r="F138" s="3"/>
      <c r="G138" s="3"/>
      <c r="H138" s="3"/>
      <c r="I138" s="3"/>
      <c r="J138" s="3"/>
    </row>
    <row r="139" spans="1:10" ht="15" x14ac:dyDescent="0.35">
      <c r="A139" s="491" t="s">
        <v>2463</v>
      </c>
      <c r="B139" s="491"/>
      <c r="C139" s="12"/>
      <c r="D139" s="21">
        <v>92424</v>
      </c>
      <c r="E139" s="3"/>
      <c r="F139" s="453"/>
      <c r="G139" s="453"/>
      <c r="H139" s="475"/>
      <c r="I139" s="557"/>
      <c r="J139" s="557"/>
    </row>
    <row r="140" spans="1:10" s="453" customFormat="1" x14ac:dyDescent="0.2">
      <c r="A140" s="491" t="s">
        <v>1320</v>
      </c>
      <c r="B140" s="491"/>
      <c r="C140" s="3"/>
      <c r="D140" s="3">
        <f>SUM(D138:D139)</f>
        <v>242424</v>
      </c>
      <c r="E140" s="3"/>
      <c r="H140" s="475"/>
      <c r="I140" s="557"/>
      <c r="J140" s="557"/>
    </row>
    <row r="141" spans="1:10" s="453" customFormat="1" x14ac:dyDescent="0.2">
      <c r="A141" s="491"/>
      <c r="B141" s="491"/>
      <c r="C141" s="3"/>
      <c r="D141" s="3"/>
      <c r="E141" s="3"/>
      <c r="H141" s="475"/>
      <c r="I141" s="557"/>
      <c r="J141" s="557"/>
    </row>
    <row r="142" spans="1:10" ht="13.5" x14ac:dyDescent="0.25">
      <c r="A142" s="494" t="s">
        <v>2298</v>
      </c>
      <c r="B142" s="491"/>
      <c r="C142" s="3"/>
      <c r="D142" s="3"/>
      <c r="E142" s="3">
        <v>0</v>
      </c>
      <c r="F142" s="3">
        <v>0</v>
      </c>
      <c r="G142" s="3">
        <v>0</v>
      </c>
      <c r="H142" s="3">
        <v>0</v>
      </c>
      <c r="I142" s="3">
        <v>0</v>
      </c>
      <c r="J142" s="3"/>
    </row>
    <row r="143" spans="1:10" x14ac:dyDescent="0.2">
      <c r="A143" s="491" t="s">
        <v>2464</v>
      </c>
      <c r="B143" s="491"/>
      <c r="C143" s="3"/>
      <c r="D143" s="3"/>
      <c r="E143" s="3"/>
      <c r="F143" s="453"/>
      <c r="G143" s="453"/>
      <c r="H143" s="475"/>
      <c r="I143" s="557"/>
      <c r="J143" s="557"/>
    </row>
    <row r="144" spans="1:10" x14ac:dyDescent="0.2">
      <c r="A144" s="491" t="s">
        <v>2464</v>
      </c>
      <c r="B144" s="491"/>
      <c r="C144" s="3"/>
      <c r="D144" s="3"/>
      <c r="E144" s="3"/>
      <c r="F144" s="418"/>
      <c r="G144" s="382"/>
      <c r="H144" s="475"/>
      <c r="I144" s="557"/>
      <c r="J144" s="557"/>
    </row>
    <row r="145" spans="1:10" ht="15" x14ac:dyDescent="0.35">
      <c r="A145" s="491"/>
      <c r="B145" s="491"/>
      <c r="C145" s="11"/>
      <c r="D145" s="21"/>
      <c r="E145" s="14">
        <v>0</v>
      </c>
      <c r="F145" s="14">
        <v>0</v>
      </c>
      <c r="G145" s="14">
        <v>0</v>
      </c>
      <c r="H145" s="14">
        <v>0</v>
      </c>
      <c r="I145" s="14">
        <v>0</v>
      </c>
      <c r="J145" s="14">
        <v>0</v>
      </c>
    </row>
    <row r="146" spans="1:10" x14ac:dyDescent="0.2">
      <c r="A146" s="491"/>
      <c r="B146" s="491"/>
      <c r="C146" s="3"/>
      <c r="D146" s="3"/>
      <c r="E146" s="3"/>
      <c r="F146" s="3"/>
      <c r="G146" s="3"/>
      <c r="H146" s="3"/>
      <c r="I146" s="3"/>
      <c r="J146" s="3"/>
    </row>
    <row r="147" spans="1:10" x14ac:dyDescent="0.2">
      <c r="C147" s="3"/>
      <c r="D147" s="3"/>
      <c r="E147" s="3"/>
      <c r="F147" s="3"/>
      <c r="G147" s="3"/>
      <c r="H147" s="3"/>
      <c r="I147" s="3"/>
      <c r="J147" s="3"/>
    </row>
    <row r="148" spans="1:10" x14ac:dyDescent="0.2">
      <c r="C148" s="3"/>
      <c r="D148" s="3"/>
      <c r="E148" s="3"/>
      <c r="F148" s="3"/>
      <c r="G148" s="3"/>
      <c r="H148" s="3"/>
      <c r="I148" s="3"/>
      <c r="J148" s="3"/>
    </row>
    <row r="149" spans="1:10" x14ac:dyDescent="0.2">
      <c r="C149" s="3"/>
      <c r="D149" s="3"/>
      <c r="E149" s="3"/>
      <c r="F149" s="3"/>
      <c r="G149" s="3"/>
      <c r="H149" s="3"/>
      <c r="I149" s="3"/>
      <c r="J149" s="3"/>
    </row>
    <row r="150" spans="1:10" x14ac:dyDescent="0.2">
      <c r="A150" s="348" t="s">
        <v>1405</v>
      </c>
      <c r="C150" s="3"/>
      <c r="D150" s="3"/>
      <c r="E150" s="3">
        <f t="shared" ref="E150:J150" si="0">SUM(E6:E146)</f>
        <v>299238</v>
      </c>
      <c r="F150" s="3">
        <f t="shared" si="0"/>
        <v>345141</v>
      </c>
      <c r="G150" s="3">
        <f t="shared" si="0"/>
        <v>671123</v>
      </c>
      <c r="H150" s="3">
        <f t="shared" si="0"/>
        <v>596123</v>
      </c>
      <c r="I150" s="3">
        <f t="shared" si="0"/>
        <v>601477</v>
      </c>
      <c r="J150" s="3">
        <f t="shared" si="0"/>
        <v>0</v>
      </c>
    </row>
    <row r="151" spans="1:10" x14ac:dyDescent="0.2">
      <c r="H151" s="475"/>
      <c r="I151" s="413"/>
    </row>
    <row r="152" spans="1:10" x14ac:dyDescent="0.2">
      <c r="A152" s="348" t="s">
        <v>628</v>
      </c>
      <c r="E152" s="3">
        <f t="shared" ref="E152:J152" si="1">SUM(E6:E55)</f>
        <v>178751</v>
      </c>
      <c r="F152" s="3">
        <f t="shared" si="1"/>
        <v>205728</v>
      </c>
      <c r="G152" s="3">
        <f t="shared" si="1"/>
        <v>204138</v>
      </c>
      <c r="H152" s="3">
        <f t="shared" si="1"/>
        <v>204138</v>
      </c>
      <c r="I152" s="3">
        <f t="shared" si="1"/>
        <v>209492</v>
      </c>
      <c r="J152" s="3">
        <f t="shared" si="1"/>
        <v>0</v>
      </c>
    </row>
    <row r="153" spans="1:10" x14ac:dyDescent="0.2">
      <c r="A153" s="348" t="s">
        <v>1024</v>
      </c>
      <c r="E153" s="3">
        <f t="shared" ref="E153:J153" si="2">SUM(E56:E134)</f>
        <v>114792</v>
      </c>
      <c r="F153" s="3">
        <f t="shared" si="2"/>
        <v>139413</v>
      </c>
      <c r="G153" s="3">
        <f t="shared" si="2"/>
        <v>149561</v>
      </c>
      <c r="H153" s="3">
        <f t="shared" si="2"/>
        <v>149561</v>
      </c>
      <c r="I153" s="3">
        <f t="shared" si="2"/>
        <v>149561</v>
      </c>
      <c r="J153" s="3">
        <f t="shared" si="2"/>
        <v>0</v>
      </c>
    </row>
    <row r="154" spans="1:10" ht="15" x14ac:dyDescent="0.35">
      <c r="A154" s="348" t="s">
        <v>1025</v>
      </c>
      <c r="E154" s="14">
        <f t="shared" ref="E154:J154" si="3">SUM(E137:E146)</f>
        <v>5695</v>
      </c>
      <c r="F154" s="14">
        <f t="shared" si="3"/>
        <v>0</v>
      </c>
      <c r="G154" s="14">
        <f t="shared" si="3"/>
        <v>317424</v>
      </c>
      <c r="H154" s="14">
        <f t="shared" si="3"/>
        <v>242424</v>
      </c>
      <c r="I154" s="14">
        <f t="shared" si="3"/>
        <v>242424</v>
      </c>
      <c r="J154" s="14">
        <f t="shared" si="3"/>
        <v>0</v>
      </c>
    </row>
    <row r="155" spans="1:10" x14ac:dyDescent="0.2">
      <c r="A155" s="348" t="s">
        <v>1320</v>
      </c>
      <c r="E155" s="3">
        <f t="shared" ref="E155:J155" si="4">SUM(E152:E154)</f>
        <v>299238</v>
      </c>
      <c r="F155" s="3">
        <f t="shared" si="4"/>
        <v>345141</v>
      </c>
      <c r="G155" s="3">
        <f t="shared" si="4"/>
        <v>671123</v>
      </c>
      <c r="H155" s="3">
        <f t="shared" ref="H155" si="5">SUM(H152:H154)</f>
        <v>596123</v>
      </c>
      <c r="I155" s="3">
        <f t="shared" si="4"/>
        <v>601477</v>
      </c>
      <c r="J155" s="3">
        <f t="shared" si="4"/>
        <v>0</v>
      </c>
    </row>
    <row r="156" spans="1:10" x14ac:dyDescent="0.2">
      <c r="H156" s="475"/>
      <c r="I156" s="413"/>
    </row>
    <row r="157" spans="1:10" x14ac:dyDescent="0.2">
      <c r="H157" s="475"/>
      <c r="I157" s="413"/>
      <c r="J157" s="3">
        <v>5354</v>
      </c>
    </row>
    <row r="158" spans="1:10" x14ac:dyDescent="0.2">
      <c r="H158" s="475"/>
      <c r="I158" s="3">
        <f>I155-H155</f>
        <v>5354</v>
      </c>
      <c r="J158" s="3">
        <f>J155-H155</f>
        <v>-596123</v>
      </c>
    </row>
    <row r="159" spans="1:10" x14ac:dyDescent="0.2">
      <c r="H159" s="475"/>
      <c r="I159" s="413"/>
      <c r="J159" s="3">
        <f>J157-J158</f>
        <v>601477</v>
      </c>
    </row>
    <row r="160" spans="1:10" x14ac:dyDescent="0.2">
      <c r="A160" s="348" t="s">
        <v>2139</v>
      </c>
      <c r="C160" s="11"/>
      <c r="D160" s="3"/>
      <c r="H160" s="475"/>
      <c r="I160" s="413"/>
    </row>
    <row r="161" spans="1:9" x14ac:dyDescent="0.2">
      <c r="A161" s="348" t="s">
        <v>2140</v>
      </c>
      <c r="C161" s="11"/>
      <c r="D161" s="3">
        <v>52146</v>
      </c>
      <c r="H161" s="475"/>
      <c r="I161" s="413"/>
    </row>
    <row r="162" spans="1:9" x14ac:dyDescent="0.2">
      <c r="H162" s="475"/>
      <c r="I162" s="413"/>
    </row>
    <row r="163" spans="1:9" x14ac:dyDescent="0.2">
      <c r="H163" s="475"/>
      <c r="I163" s="413"/>
    </row>
    <row r="164" spans="1:9" x14ac:dyDescent="0.2">
      <c r="H164" s="475"/>
      <c r="I164" s="413"/>
    </row>
    <row r="165" spans="1:9" x14ac:dyDescent="0.2">
      <c r="H165" s="475"/>
      <c r="I165" s="413"/>
    </row>
    <row r="166" spans="1:9" x14ac:dyDescent="0.2">
      <c r="H166" s="475"/>
      <c r="I166" s="413"/>
    </row>
    <row r="167" spans="1:9" x14ac:dyDescent="0.2">
      <c r="H167" s="475"/>
      <c r="I167" s="413"/>
    </row>
    <row r="168" spans="1:9" x14ac:dyDescent="0.2">
      <c r="H168" s="475"/>
      <c r="I168" s="413"/>
    </row>
    <row r="169" spans="1:9" x14ac:dyDescent="0.2">
      <c r="H169" s="475"/>
      <c r="I169" s="413"/>
    </row>
    <row r="170" spans="1:9" x14ac:dyDescent="0.2">
      <c r="H170" s="475"/>
      <c r="I170" s="413"/>
    </row>
    <row r="171" spans="1:9" x14ac:dyDescent="0.2">
      <c r="H171" s="475"/>
      <c r="I171" s="413"/>
    </row>
    <row r="172" spans="1:9" x14ac:dyDescent="0.2">
      <c r="H172" s="475"/>
      <c r="I172" s="413"/>
    </row>
    <row r="173" spans="1:9" x14ac:dyDescent="0.2">
      <c r="H173" s="475"/>
      <c r="I173" s="413"/>
    </row>
    <row r="174" spans="1:9" x14ac:dyDescent="0.2">
      <c r="H174" s="475"/>
      <c r="I174" s="413"/>
    </row>
    <row r="175" spans="1:9" x14ac:dyDescent="0.2">
      <c r="H175" s="475"/>
      <c r="I175" s="413"/>
    </row>
    <row r="176" spans="1:9" x14ac:dyDescent="0.2">
      <c r="H176" s="475"/>
      <c r="I176" s="413"/>
    </row>
    <row r="177" spans="8:9" x14ac:dyDescent="0.2">
      <c r="H177" s="475"/>
      <c r="I177" s="413"/>
    </row>
    <row r="178" spans="8:9" x14ac:dyDescent="0.2">
      <c r="H178" s="475"/>
      <c r="I178" s="413"/>
    </row>
    <row r="179" spans="8:9" x14ac:dyDescent="0.2">
      <c r="H179" s="475"/>
      <c r="I179" s="413"/>
    </row>
    <row r="180" spans="8:9" x14ac:dyDescent="0.2">
      <c r="H180" s="475"/>
      <c r="I180" s="413"/>
    </row>
    <row r="181" spans="8:9" x14ac:dyDescent="0.2">
      <c r="H181" s="475"/>
      <c r="I181" s="413"/>
    </row>
    <row r="182" spans="8:9" x14ac:dyDescent="0.2">
      <c r="H182" s="475"/>
      <c r="I182" s="413"/>
    </row>
    <row r="183" spans="8:9" x14ac:dyDescent="0.2">
      <c r="H183" s="475"/>
      <c r="I183" s="413"/>
    </row>
    <row r="184" spans="8:9" x14ac:dyDescent="0.2">
      <c r="H184" s="475"/>
      <c r="I184" s="413"/>
    </row>
    <row r="185" spans="8:9" x14ac:dyDescent="0.2">
      <c r="H185" s="475"/>
      <c r="I185" s="413"/>
    </row>
    <row r="186" spans="8:9" x14ac:dyDescent="0.2">
      <c r="H186" s="475"/>
      <c r="I186" s="413"/>
    </row>
    <row r="187" spans="8:9" x14ac:dyDescent="0.2">
      <c r="H187" s="475"/>
      <c r="I187" s="413"/>
    </row>
    <row r="188" spans="8:9" x14ac:dyDescent="0.2">
      <c r="H188" s="475"/>
      <c r="I188" s="413"/>
    </row>
    <row r="189" spans="8:9" x14ac:dyDescent="0.2">
      <c r="H189" s="475"/>
      <c r="I189" s="413"/>
    </row>
    <row r="190" spans="8:9" x14ac:dyDescent="0.2">
      <c r="H190" s="475"/>
      <c r="I190" s="413"/>
    </row>
    <row r="191" spans="8:9" x14ac:dyDescent="0.2">
      <c r="H191" s="475"/>
      <c r="I191" s="413"/>
    </row>
    <row r="192" spans="8:9" x14ac:dyDescent="0.2">
      <c r="H192" s="475"/>
      <c r="I192" s="413"/>
    </row>
    <row r="193" spans="8:9" x14ac:dyDescent="0.2">
      <c r="H193" s="475"/>
      <c r="I193" s="413"/>
    </row>
    <row r="194" spans="8:9" x14ac:dyDescent="0.2">
      <c r="H194" s="475"/>
      <c r="I194" s="413"/>
    </row>
    <row r="195" spans="8:9" x14ac:dyDescent="0.2">
      <c r="H195" s="475"/>
      <c r="I195" s="413"/>
    </row>
    <row r="196" spans="8:9" x14ac:dyDescent="0.2">
      <c r="H196" s="475"/>
      <c r="I196" s="413"/>
    </row>
    <row r="197" spans="8:9" x14ac:dyDescent="0.2">
      <c r="H197" s="475"/>
      <c r="I197" s="413"/>
    </row>
    <row r="198" spans="8:9" x14ac:dyDescent="0.2">
      <c r="H198" s="475"/>
      <c r="I198" s="413"/>
    </row>
    <row r="199" spans="8:9" x14ac:dyDescent="0.2">
      <c r="H199" s="475"/>
      <c r="I199" s="413"/>
    </row>
    <row r="200" spans="8:9" x14ac:dyDescent="0.2">
      <c r="H200" s="475"/>
      <c r="I200" s="413"/>
    </row>
    <row r="201" spans="8:9" x14ac:dyDescent="0.2">
      <c r="H201" s="475"/>
      <c r="I201" s="413"/>
    </row>
    <row r="202" spans="8:9" x14ac:dyDescent="0.2">
      <c r="H202" s="475"/>
      <c r="I202" s="413"/>
    </row>
    <row r="203" spans="8:9" x14ac:dyDescent="0.2">
      <c r="H203" s="475"/>
      <c r="I203" s="413"/>
    </row>
    <row r="204" spans="8:9" x14ac:dyDescent="0.2">
      <c r="H204" s="475"/>
      <c r="I204" s="413"/>
    </row>
    <row r="205" spans="8:9" x14ac:dyDescent="0.2">
      <c r="H205" s="475"/>
      <c r="I205" s="413"/>
    </row>
    <row r="206" spans="8:9" x14ac:dyDescent="0.2">
      <c r="H206" s="475"/>
      <c r="I206" s="413"/>
    </row>
    <row r="207" spans="8:9" x14ac:dyDescent="0.2">
      <c r="H207" s="475"/>
      <c r="I207" s="413"/>
    </row>
    <row r="208" spans="8:9" x14ac:dyDescent="0.2">
      <c r="H208" s="475"/>
      <c r="I208" s="413"/>
    </row>
    <row r="209" spans="8:9" x14ac:dyDescent="0.2">
      <c r="H209" s="475"/>
      <c r="I209" s="413"/>
    </row>
    <row r="210" spans="8:9" x14ac:dyDescent="0.2">
      <c r="H210" s="475"/>
      <c r="I210" s="413"/>
    </row>
    <row r="211" spans="8:9" x14ac:dyDescent="0.2">
      <c r="H211" s="475"/>
      <c r="I211" s="413"/>
    </row>
    <row r="212" spans="8:9" x14ac:dyDescent="0.2">
      <c r="H212" s="475"/>
      <c r="I212" s="413"/>
    </row>
    <row r="213" spans="8:9" x14ac:dyDescent="0.2">
      <c r="H213" s="475"/>
      <c r="I213" s="413"/>
    </row>
    <row r="214" spans="8:9" x14ac:dyDescent="0.2">
      <c r="H214" s="475"/>
      <c r="I214" s="413"/>
    </row>
    <row r="215" spans="8:9" x14ac:dyDescent="0.2">
      <c r="H215" s="475"/>
      <c r="I215" s="413"/>
    </row>
    <row r="216" spans="8:9" x14ac:dyDescent="0.2">
      <c r="H216" s="475"/>
      <c r="I216" s="413"/>
    </row>
    <row r="217" spans="8:9" x14ac:dyDescent="0.2">
      <c r="H217" s="475"/>
      <c r="I217" s="413"/>
    </row>
    <row r="218" spans="8:9" x14ac:dyDescent="0.2">
      <c r="H218" s="475"/>
      <c r="I218" s="413"/>
    </row>
    <row r="219" spans="8:9" x14ac:dyDescent="0.2">
      <c r="H219" s="475"/>
      <c r="I219" s="413"/>
    </row>
    <row r="220" spans="8:9" x14ac:dyDescent="0.2">
      <c r="H220" s="475"/>
      <c r="I220" s="413"/>
    </row>
    <row r="221" spans="8:9" x14ac:dyDescent="0.2">
      <c r="H221" s="475"/>
      <c r="I221" s="413"/>
    </row>
    <row r="222" spans="8:9" x14ac:dyDescent="0.2">
      <c r="H222" s="475"/>
      <c r="I222" s="413"/>
    </row>
    <row r="223" spans="8:9" x14ac:dyDescent="0.2">
      <c r="H223" s="475"/>
      <c r="I223" s="413"/>
    </row>
    <row r="224" spans="8:9" x14ac:dyDescent="0.2">
      <c r="H224" s="475"/>
      <c r="I224" s="413"/>
    </row>
    <row r="225" spans="8:9" x14ac:dyDescent="0.2">
      <c r="H225" s="475"/>
      <c r="I225" s="413"/>
    </row>
    <row r="226" spans="8:9" x14ac:dyDescent="0.2">
      <c r="H226" s="475"/>
      <c r="I226" s="413"/>
    </row>
    <row r="227" spans="8:9" x14ac:dyDescent="0.2">
      <c r="H227" s="475"/>
      <c r="I227" s="413"/>
    </row>
    <row r="228" spans="8:9" x14ac:dyDescent="0.2">
      <c r="H228" s="475"/>
      <c r="I228" s="413"/>
    </row>
    <row r="229" spans="8:9" x14ac:dyDescent="0.2">
      <c r="H229" s="475"/>
      <c r="I229" s="413"/>
    </row>
    <row r="230" spans="8:9" x14ac:dyDescent="0.2">
      <c r="H230" s="475"/>
      <c r="I230" s="413"/>
    </row>
    <row r="231" spans="8:9" x14ac:dyDescent="0.2">
      <c r="H231" s="475"/>
      <c r="I231" s="413"/>
    </row>
    <row r="232" spans="8:9" x14ac:dyDescent="0.2">
      <c r="I232" s="413"/>
    </row>
    <row r="233" spans="8:9" x14ac:dyDescent="0.2">
      <c r="I233" s="413"/>
    </row>
    <row r="234" spans="8:9" x14ac:dyDescent="0.2">
      <c r="I234" s="413"/>
    </row>
    <row r="235" spans="8:9" x14ac:dyDescent="0.2">
      <c r="I235" s="413"/>
    </row>
    <row r="236" spans="8:9" x14ac:dyDescent="0.2">
      <c r="I236" s="413"/>
    </row>
    <row r="237" spans="8:9" x14ac:dyDescent="0.2">
      <c r="I237" s="413"/>
    </row>
    <row r="238" spans="8:9" x14ac:dyDescent="0.2">
      <c r="I238" s="413"/>
    </row>
    <row r="239" spans="8:9" x14ac:dyDescent="0.2">
      <c r="I239" s="413"/>
    </row>
    <row r="240" spans="8:9" x14ac:dyDescent="0.2">
      <c r="I240" s="413"/>
    </row>
    <row r="241" spans="9:9" x14ac:dyDescent="0.2">
      <c r="I241" s="413"/>
    </row>
    <row r="242" spans="9:9" x14ac:dyDescent="0.2">
      <c r="I242" s="413"/>
    </row>
    <row r="243" spans="9:9" x14ac:dyDescent="0.2">
      <c r="I243" s="413"/>
    </row>
    <row r="244" spans="9:9" x14ac:dyDescent="0.2">
      <c r="I244" s="413"/>
    </row>
    <row r="245" spans="9:9" x14ac:dyDescent="0.2">
      <c r="I245" s="413"/>
    </row>
    <row r="246" spans="9:9" x14ac:dyDescent="0.2">
      <c r="I246" s="413"/>
    </row>
    <row r="247" spans="9:9" x14ac:dyDescent="0.2">
      <c r="I247" s="413"/>
    </row>
    <row r="248" spans="9:9" x14ac:dyDescent="0.2">
      <c r="I248" s="413"/>
    </row>
    <row r="249" spans="9:9" x14ac:dyDescent="0.2">
      <c r="I249" s="413"/>
    </row>
    <row r="250" spans="9:9" x14ac:dyDescent="0.2">
      <c r="I250" s="413"/>
    </row>
    <row r="251" spans="9:9" x14ac:dyDescent="0.2">
      <c r="I251" s="413"/>
    </row>
    <row r="252" spans="9:9" x14ac:dyDescent="0.2">
      <c r="I252" s="413"/>
    </row>
    <row r="253" spans="9:9" x14ac:dyDescent="0.2">
      <c r="I253" s="413"/>
    </row>
  </sheetData>
  <mergeCells count="1">
    <mergeCell ref="A1:J1"/>
  </mergeCells>
  <phoneticPr fontId="0" type="noConversion"/>
  <printOptions gridLines="1"/>
  <pageMargins left="0.75" right="0.16" top="0.51" bottom="0.22" header="0.5" footer="0"/>
  <pageSetup scale="85" fitToHeight="5" orientation="landscape" r:id="rId1"/>
  <headerFooter alignWithMargins="0"/>
  <rowBreaks count="2" manualBreakCount="2">
    <brk id="69" max="9" man="1"/>
    <brk id="115" max="9"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4"/>
  <sheetViews>
    <sheetView view="pageBreakPreview" zoomScaleNormal="100" zoomScaleSheetLayoutView="100" workbookViewId="0">
      <pane ySplit="5" topLeftCell="A145" activePane="bottomLeft" state="frozen"/>
      <selection activeCell="D43" sqref="D43"/>
      <selection pane="bottomLeft" activeCell="J6" sqref="J6:J153"/>
    </sheetView>
  </sheetViews>
  <sheetFormatPr defaultColWidth="8.85546875" defaultRowHeight="12.75" x14ac:dyDescent="0.2"/>
  <cols>
    <col min="1" max="1" width="55.140625" style="348" customWidth="1"/>
    <col min="2" max="2" width="8.7109375" style="348" bestFit="1" customWidth="1"/>
    <col min="3" max="3" width="7.7109375" style="348" bestFit="1" customWidth="1"/>
    <col min="4" max="4" width="8.7109375" style="348" bestFit="1" customWidth="1"/>
    <col min="5" max="6" width="9" style="348" bestFit="1" customWidth="1"/>
    <col min="7" max="7" width="11.7109375" style="3" bestFit="1" customWidth="1"/>
    <col min="8" max="8" width="13.5703125" style="3" bestFit="1" customWidth="1"/>
    <col min="9" max="10" width="10.85546875" style="348" customWidth="1"/>
    <col min="11" max="16384" width="8.85546875" style="348"/>
  </cols>
  <sheetData>
    <row r="1" spans="1:243" x14ac:dyDescent="0.2">
      <c r="A1" s="562" t="str">
        <f>'SUMMARY BY FUND'!A1:J1</f>
        <v>2023-24 BUDGET</v>
      </c>
      <c r="B1" s="563"/>
      <c r="C1" s="563"/>
      <c r="D1" s="563"/>
      <c r="E1" s="563"/>
      <c r="F1" s="563"/>
      <c r="G1" s="563"/>
      <c r="H1" s="563"/>
      <c r="I1" s="563"/>
      <c r="J1" s="563"/>
    </row>
    <row r="2" spans="1:243" ht="18.75" x14ac:dyDescent="0.3">
      <c r="A2" s="202" t="s">
        <v>1883</v>
      </c>
      <c r="B2" s="202"/>
      <c r="C2" s="202"/>
      <c r="D2" s="202"/>
      <c r="E2" s="202"/>
      <c r="F2" s="202"/>
      <c r="I2" s="24"/>
      <c r="J2" s="24"/>
    </row>
    <row r="3" spans="1:243" x14ac:dyDescent="0.2">
      <c r="B3" s="3"/>
      <c r="C3" s="3"/>
      <c r="D3" s="3"/>
      <c r="E3" s="3"/>
      <c r="F3" s="3"/>
      <c r="I3" s="24"/>
      <c r="J3" s="24"/>
    </row>
    <row r="4" spans="1:243" x14ac:dyDescent="0.2">
      <c r="B4" s="3"/>
      <c r="C4" s="3"/>
      <c r="D4" s="3"/>
      <c r="E4" s="19" t="s">
        <v>250</v>
      </c>
      <c r="F4" s="19" t="s">
        <v>251</v>
      </c>
      <c r="G4" s="19" t="s">
        <v>68</v>
      </c>
      <c r="H4" s="19" t="s">
        <v>432</v>
      </c>
      <c r="I4" s="19" t="s">
        <v>338</v>
      </c>
      <c r="J4" s="19" t="s">
        <v>370</v>
      </c>
    </row>
    <row r="5" spans="1:243" ht="15" x14ac:dyDescent="0.35">
      <c r="B5" s="3"/>
      <c r="C5" s="3"/>
      <c r="D5" s="3"/>
      <c r="E5" s="419" t="s">
        <v>2163</v>
      </c>
      <c r="F5" s="419" t="s">
        <v>2290</v>
      </c>
      <c r="G5" s="419" t="s">
        <v>2507</v>
      </c>
      <c r="H5" s="419" t="s">
        <v>2507</v>
      </c>
      <c r="I5" s="419" t="s">
        <v>2507</v>
      </c>
      <c r="J5" s="419" t="s">
        <v>2507</v>
      </c>
    </row>
    <row r="6" spans="1:243" ht="13.5" x14ac:dyDescent="0.25">
      <c r="A6" s="372" t="s">
        <v>1442</v>
      </c>
      <c r="B6" s="3"/>
      <c r="C6" s="3"/>
      <c r="D6" s="3"/>
      <c r="E6" s="3">
        <v>42580</v>
      </c>
      <c r="F6" s="52">
        <v>42796</v>
      </c>
      <c r="G6" s="52">
        <v>42827</v>
      </c>
      <c r="H6" s="52">
        <v>42827</v>
      </c>
      <c r="I6" s="52">
        <v>44304</v>
      </c>
      <c r="J6" s="52"/>
      <c r="II6" s="52"/>
    </row>
    <row r="7" spans="1:243" x14ac:dyDescent="0.2">
      <c r="A7" s="371" t="s">
        <v>134</v>
      </c>
      <c r="B7" s="3">
        <v>52</v>
      </c>
      <c r="C7" s="3">
        <v>852</v>
      </c>
      <c r="D7" s="3">
        <f>ROUND(B7*C7,0)</f>
        <v>44304</v>
      </c>
      <c r="E7" s="3"/>
      <c r="F7" s="52"/>
      <c r="G7" s="52"/>
      <c r="H7" s="52"/>
      <c r="I7" s="52"/>
      <c r="J7" s="52"/>
      <c r="II7" s="52"/>
    </row>
    <row r="8" spans="1:243" ht="15" x14ac:dyDescent="0.35">
      <c r="A8" s="371" t="s">
        <v>1039</v>
      </c>
      <c r="B8" s="3" t="s">
        <v>418</v>
      </c>
      <c r="C8" s="3" t="s">
        <v>418</v>
      </c>
      <c r="D8" s="14">
        <v>0</v>
      </c>
      <c r="E8" s="3"/>
      <c r="F8" s="67"/>
      <c r="G8" s="67"/>
      <c r="H8" s="67"/>
      <c r="I8" s="67"/>
      <c r="J8" s="67"/>
      <c r="II8" s="67"/>
    </row>
    <row r="9" spans="1:243" x14ac:dyDescent="0.2">
      <c r="A9" s="371" t="s">
        <v>1320</v>
      </c>
      <c r="B9" s="3"/>
      <c r="C9" s="3"/>
      <c r="D9" s="3">
        <f>SUM(D7:D8)</f>
        <v>44304</v>
      </c>
      <c r="E9" s="3"/>
      <c r="F9" s="52"/>
      <c r="G9" s="52"/>
      <c r="H9" s="52"/>
      <c r="I9" s="52"/>
      <c r="J9" s="52"/>
      <c r="II9" s="52"/>
    </row>
    <row r="10" spans="1:243" x14ac:dyDescent="0.2">
      <c r="A10" s="371"/>
      <c r="B10" s="3"/>
      <c r="C10" s="3"/>
      <c r="D10" s="3"/>
      <c r="E10" s="3"/>
      <c r="F10" s="52"/>
      <c r="G10" s="52"/>
      <c r="H10" s="52"/>
      <c r="I10" s="52"/>
      <c r="J10" s="52"/>
      <c r="II10" s="52"/>
    </row>
    <row r="11" spans="1:243" ht="13.5" x14ac:dyDescent="0.25">
      <c r="A11" s="372" t="s">
        <v>408</v>
      </c>
      <c r="B11" s="3"/>
      <c r="C11" s="3"/>
      <c r="D11" s="3"/>
      <c r="E11" s="3">
        <v>181296</v>
      </c>
      <c r="F11" s="52">
        <v>184352</v>
      </c>
      <c r="G11" s="52">
        <v>184393</v>
      </c>
      <c r="H11" s="52">
        <v>184393</v>
      </c>
      <c r="I11" s="52">
        <v>190812</v>
      </c>
      <c r="J11" s="52"/>
      <c r="II11" s="52"/>
    </row>
    <row r="12" spans="1:243" x14ac:dyDescent="0.2">
      <c r="A12" s="371" t="s">
        <v>409</v>
      </c>
      <c r="B12" s="3">
        <v>52</v>
      </c>
      <c r="C12" s="3">
        <v>2162</v>
      </c>
      <c r="D12" s="3">
        <f>ROUND(B12*C12,0)</f>
        <v>112424</v>
      </c>
      <c r="E12" s="3"/>
      <c r="F12" s="52"/>
      <c r="G12" s="52"/>
      <c r="H12" s="52"/>
      <c r="I12" s="52"/>
      <c r="J12" s="52"/>
      <c r="II12" s="52"/>
    </row>
    <row r="13" spans="1:243" x14ac:dyDescent="0.2">
      <c r="A13" s="371" t="s">
        <v>410</v>
      </c>
      <c r="B13" s="3">
        <v>52</v>
      </c>
      <c r="C13" s="3">
        <v>1467</v>
      </c>
      <c r="D13" s="3">
        <f>ROUND(B13*C13,0)</f>
        <v>76284</v>
      </c>
      <c r="E13" s="3"/>
      <c r="F13" s="52"/>
      <c r="G13" s="52"/>
      <c r="H13" s="52"/>
      <c r="I13" s="52"/>
      <c r="J13" s="52"/>
      <c r="II13" s="52"/>
    </row>
    <row r="14" spans="1:243" ht="15" x14ac:dyDescent="0.35">
      <c r="A14" s="371" t="s">
        <v>1039</v>
      </c>
      <c r="B14" s="3"/>
      <c r="C14" s="3"/>
      <c r="D14" s="14">
        <v>2104</v>
      </c>
      <c r="E14" s="3"/>
      <c r="F14" s="52"/>
      <c r="G14" s="52"/>
      <c r="H14" s="52"/>
      <c r="I14" s="52"/>
      <c r="J14" s="52"/>
      <c r="II14" s="52"/>
    </row>
    <row r="15" spans="1:243" x14ac:dyDescent="0.2">
      <c r="A15" s="371" t="s">
        <v>1320</v>
      </c>
      <c r="B15" s="3"/>
      <c r="C15" s="3"/>
      <c r="D15" s="3">
        <f>SUM(D12:D14)</f>
        <v>190812</v>
      </c>
      <c r="E15" s="3"/>
      <c r="F15" s="52"/>
      <c r="G15" s="52"/>
      <c r="H15" s="52"/>
      <c r="I15" s="52"/>
      <c r="J15" s="52"/>
      <c r="II15" s="52"/>
    </row>
    <row r="16" spans="1:243" x14ac:dyDescent="0.2">
      <c r="A16" s="371"/>
      <c r="B16" s="3"/>
      <c r="C16" s="3"/>
      <c r="D16" s="3"/>
      <c r="E16" s="3"/>
      <c r="F16" s="52"/>
      <c r="G16" s="52"/>
      <c r="H16" s="52"/>
      <c r="I16" s="52"/>
      <c r="J16" s="52"/>
      <c r="II16" s="52"/>
    </row>
    <row r="17" spans="1:243" ht="13.5" x14ac:dyDescent="0.25">
      <c r="A17" s="372" t="s">
        <v>542</v>
      </c>
      <c r="B17" s="3"/>
      <c r="C17" s="3"/>
      <c r="D17" s="3"/>
      <c r="E17" s="3">
        <v>60830</v>
      </c>
      <c r="F17" s="52">
        <v>61152</v>
      </c>
      <c r="G17" s="52">
        <v>58448</v>
      </c>
      <c r="H17" s="52">
        <v>58448</v>
      </c>
      <c r="I17" s="52">
        <v>60474</v>
      </c>
      <c r="J17" s="52"/>
      <c r="II17" s="52"/>
    </row>
    <row r="18" spans="1:243" ht="15" x14ac:dyDescent="0.35">
      <c r="A18" s="371" t="s">
        <v>326</v>
      </c>
      <c r="B18" s="3">
        <v>52</v>
      </c>
      <c r="C18" s="3">
        <v>1162.97</v>
      </c>
      <c r="D18" s="14">
        <f>ROUND(B18*C18,0)</f>
        <v>60474</v>
      </c>
      <c r="E18" s="3"/>
      <c r="F18" s="52"/>
      <c r="G18" s="52"/>
      <c r="H18" s="52"/>
      <c r="I18" s="52"/>
      <c r="J18" s="52"/>
      <c r="II18" s="52"/>
    </row>
    <row r="19" spans="1:243" x14ac:dyDescent="0.2">
      <c r="A19" s="371" t="s">
        <v>1320</v>
      </c>
      <c r="B19" s="3"/>
      <c r="C19" s="3"/>
      <c r="D19" s="3">
        <f>SUM(D18:D18)</f>
        <v>60474</v>
      </c>
      <c r="E19" s="3"/>
      <c r="F19" s="52"/>
      <c r="G19" s="52"/>
      <c r="H19" s="52"/>
      <c r="I19" s="52"/>
      <c r="J19" s="52"/>
      <c r="II19" s="52"/>
    </row>
    <row r="20" spans="1:243" x14ac:dyDescent="0.2">
      <c r="A20" s="371"/>
      <c r="B20" s="416"/>
      <c r="C20" s="416"/>
      <c r="D20" s="3"/>
      <c r="E20" s="3"/>
      <c r="F20" s="52"/>
      <c r="G20" s="52"/>
      <c r="H20" s="52"/>
      <c r="I20" s="52"/>
      <c r="J20" s="52"/>
      <c r="II20" s="52"/>
    </row>
    <row r="21" spans="1:243" ht="13.5" x14ac:dyDescent="0.25">
      <c r="A21" s="372" t="s">
        <v>668</v>
      </c>
      <c r="B21" s="416"/>
      <c r="C21" s="416"/>
      <c r="D21" s="3"/>
      <c r="E21" s="3">
        <v>21409</v>
      </c>
      <c r="F21" s="52">
        <v>23837</v>
      </c>
      <c r="G21" s="52">
        <v>24873</v>
      </c>
      <c r="H21" s="52">
        <v>24873</v>
      </c>
      <c r="I21" s="52">
        <v>25746</v>
      </c>
      <c r="J21" s="52"/>
      <c r="II21" s="52"/>
    </row>
    <row r="22" spans="1:243" ht="15" x14ac:dyDescent="0.35">
      <c r="A22" s="371" t="s">
        <v>109</v>
      </c>
      <c r="B22" s="3">
        <v>1248</v>
      </c>
      <c r="C22" s="15">
        <v>20.63</v>
      </c>
      <c r="D22" s="14">
        <f>ROUND(B22*C22,0)</f>
        <v>25746</v>
      </c>
      <c r="E22" s="3"/>
      <c r="F22" s="52"/>
      <c r="G22" s="52"/>
      <c r="H22" s="52"/>
      <c r="I22" s="52"/>
      <c r="J22" s="52"/>
      <c r="II22" s="52"/>
    </row>
    <row r="23" spans="1:243" x14ac:dyDescent="0.2">
      <c r="A23" s="371" t="s">
        <v>1320</v>
      </c>
      <c r="B23" s="3"/>
      <c r="C23" s="15"/>
      <c r="D23" s="3">
        <f>SUM(D22:D22)</f>
        <v>25746</v>
      </c>
      <c r="E23" s="3"/>
      <c r="F23" s="52"/>
      <c r="G23" s="52"/>
      <c r="H23" s="52"/>
      <c r="I23" s="52"/>
      <c r="J23" s="52"/>
      <c r="II23" s="52"/>
    </row>
    <row r="24" spans="1:243" x14ac:dyDescent="0.2">
      <c r="A24" s="371"/>
      <c r="B24" s="416"/>
      <c r="C24" s="416"/>
      <c r="D24" s="416"/>
      <c r="E24" s="416"/>
      <c r="F24" s="52"/>
      <c r="G24" s="52"/>
      <c r="H24" s="52"/>
      <c r="I24" s="52"/>
      <c r="J24" s="52"/>
      <c r="II24" s="52"/>
    </row>
    <row r="25" spans="1:243" ht="13.5" x14ac:dyDescent="0.25">
      <c r="A25" s="372" t="s">
        <v>1921</v>
      </c>
      <c r="B25" s="3"/>
      <c r="C25" s="15"/>
      <c r="D25" s="3"/>
      <c r="E25" s="3">
        <v>0</v>
      </c>
      <c r="F25" s="3">
        <v>300</v>
      </c>
      <c r="G25" s="3">
        <v>300</v>
      </c>
      <c r="H25" s="3">
        <v>300</v>
      </c>
      <c r="I25" s="3">
        <v>300</v>
      </c>
      <c r="J25" s="3"/>
      <c r="II25" s="52"/>
    </row>
    <row r="26" spans="1:243" x14ac:dyDescent="0.2">
      <c r="A26" s="371"/>
      <c r="B26" s="416"/>
      <c r="C26" s="416"/>
      <c r="D26" s="3"/>
      <c r="E26" s="3"/>
      <c r="F26" s="52"/>
      <c r="G26" s="52"/>
      <c r="H26" s="52"/>
      <c r="I26" s="52"/>
      <c r="J26" s="52"/>
      <c r="II26" s="52"/>
    </row>
    <row r="27" spans="1:243" ht="13.5" x14ac:dyDescent="0.25">
      <c r="A27" s="372" t="s">
        <v>214</v>
      </c>
      <c r="B27" s="76"/>
      <c r="C27" s="416"/>
      <c r="D27" s="3"/>
      <c r="E27" s="3">
        <v>22961</v>
      </c>
      <c r="F27" s="52">
        <v>23879</v>
      </c>
      <c r="G27" s="52">
        <v>23756</v>
      </c>
      <c r="H27" s="52">
        <v>23756</v>
      </c>
      <c r="I27" s="52">
        <v>24582</v>
      </c>
      <c r="J27" s="52"/>
      <c r="II27" s="52"/>
    </row>
    <row r="28" spans="1:243" x14ac:dyDescent="0.2">
      <c r="A28" s="16" t="s">
        <v>1321</v>
      </c>
      <c r="B28" s="3">
        <f>+D9</f>
        <v>44304</v>
      </c>
      <c r="C28" s="17">
        <v>7.6499999999999999E-2</v>
      </c>
      <c r="D28" s="3">
        <f>ROUND(B28*C28,0)</f>
        <v>3389</v>
      </c>
      <c r="E28" s="3"/>
      <c r="F28" s="52"/>
      <c r="G28" s="52"/>
      <c r="H28" s="52"/>
      <c r="I28" s="52"/>
      <c r="J28" s="52"/>
      <c r="II28" s="52"/>
    </row>
    <row r="29" spans="1:243" x14ac:dyDescent="0.2">
      <c r="A29" s="16" t="s">
        <v>1322</v>
      </c>
      <c r="B29" s="3">
        <f>+D15</f>
        <v>190812</v>
      </c>
      <c r="C29" s="17">
        <v>7.6499999999999999E-2</v>
      </c>
      <c r="D29" s="3">
        <f>ROUND(B29*C29,0)</f>
        <v>14597</v>
      </c>
      <c r="E29" s="3"/>
      <c r="F29" s="52"/>
      <c r="G29" s="52"/>
      <c r="H29" s="52"/>
      <c r="I29" s="52"/>
      <c r="J29" s="52"/>
      <c r="II29" s="52"/>
    </row>
    <row r="30" spans="1:243" x14ac:dyDescent="0.2">
      <c r="A30" s="16" t="s">
        <v>1323</v>
      </c>
      <c r="B30" s="3">
        <f>+D18</f>
        <v>60474</v>
      </c>
      <c r="C30" s="17">
        <v>7.6499999999999999E-2</v>
      </c>
      <c r="D30" s="3">
        <f>ROUND(B30*C30,0)</f>
        <v>4626</v>
      </c>
      <c r="E30" s="3"/>
      <c r="F30" s="52"/>
      <c r="G30" s="52"/>
      <c r="H30" s="52"/>
      <c r="I30" s="52"/>
      <c r="J30" s="52"/>
      <c r="II30" s="52"/>
    </row>
    <row r="31" spans="1:243" ht="15" x14ac:dyDescent="0.35">
      <c r="A31" s="16" t="s">
        <v>1324</v>
      </c>
      <c r="B31" s="3">
        <f>+D23</f>
        <v>25746</v>
      </c>
      <c r="C31" s="17">
        <v>7.6499999999999999E-2</v>
      </c>
      <c r="D31" s="14">
        <f>ROUND(B31*C31,0)</f>
        <v>1970</v>
      </c>
      <c r="E31" s="3"/>
      <c r="F31" s="52"/>
      <c r="G31" s="52"/>
      <c r="H31" s="52"/>
      <c r="I31" s="52"/>
      <c r="J31" s="52"/>
      <c r="II31" s="52"/>
    </row>
    <row r="32" spans="1:243" x14ac:dyDescent="0.2">
      <c r="A32" s="371" t="s">
        <v>1320</v>
      </c>
      <c r="B32" s="3" t="s">
        <v>418</v>
      </c>
      <c r="C32" s="416"/>
      <c r="D32" s="3">
        <f>SUM(D28:D31)</f>
        <v>24582</v>
      </c>
      <c r="E32" s="3"/>
      <c r="F32" s="52"/>
      <c r="G32" s="52"/>
      <c r="H32" s="52"/>
      <c r="I32" s="52"/>
      <c r="J32" s="52"/>
      <c r="II32" s="52"/>
    </row>
    <row r="33" spans="1:243" x14ac:dyDescent="0.2">
      <c r="A33" s="371"/>
      <c r="B33" s="416"/>
      <c r="C33" s="416"/>
      <c r="D33" s="3"/>
      <c r="E33" s="3"/>
      <c r="F33" s="52"/>
      <c r="G33" s="52"/>
      <c r="H33" s="52"/>
      <c r="I33" s="52"/>
      <c r="J33" s="52"/>
      <c r="II33" s="52"/>
    </row>
    <row r="34" spans="1:243" ht="13.5" x14ac:dyDescent="0.25">
      <c r="A34" s="18" t="s">
        <v>215</v>
      </c>
      <c r="B34" s="416"/>
      <c r="C34" s="416"/>
      <c r="D34" s="3"/>
      <c r="E34" s="3">
        <v>40029</v>
      </c>
      <c r="F34" s="52">
        <v>40535</v>
      </c>
      <c r="G34" s="52">
        <v>38650</v>
      </c>
      <c r="H34" s="52">
        <v>38650</v>
      </c>
      <c r="I34" s="52">
        <v>39993</v>
      </c>
      <c r="J34" s="52"/>
      <c r="II34" s="52"/>
    </row>
    <row r="35" spans="1:243" x14ac:dyDescent="0.2">
      <c r="A35" s="16" t="s">
        <v>1321</v>
      </c>
      <c r="B35" s="3">
        <f>+D9</f>
        <v>44304</v>
      </c>
      <c r="C35" s="507">
        <v>0.1353</v>
      </c>
      <c r="D35" s="3">
        <f>ROUND(B35*C35,0)</f>
        <v>5994</v>
      </c>
      <c r="E35" s="3"/>
      <c r="F35" s="52"/>
      <c r="G35" s="52"/>
      <c r="H35" s="52"/>
      <c r="I35" s="52"/>
      <c r="J35" s="52"/>
      <c r="II35" s="52"/>
    </row>
    <row r="36" spans="1:243" x14ac:dyDescent="0.2">
      <c r="A36" s="16" t="s">
        <v>1322</v>
      </c>
      <c r="B36" s="3">
        <f>+D15</f>
        <v>190812</v>
      </c>
      <c r="C36" s="507">
        <v>0.1353</v>
      </c>
      <c r="D36" s="3">
        <f>ROUND(B36*C36,0)</f>
        <v>25817</v>
      </c>
      <c r="E36" s="3"/>
      <c r="F36" s="52"/>
      <c r="G36" s="52"/>
      <c r="H36" s="52"/>
      <c r="I36" s="52"/>
      <c r="J36" s="52"/>
      <c r="II36" s="52"/>
    </row>
    <row r="37" spans="1:243" ht="15" x14ac:dyDescent="0.35">
      <c r="A37" s="16" t="s">
        <v>1323</v>
      </c>
      <c r="B37" s="3">
        <f>+D18</f>
        <v>60474</v>
      </c>
      <c r="C37" s="507">
        <v>0.1353</v>
      </c>
      <c r="D37" s="14">
        <f>ROUND(B37*C37,0)</f>
        <v>8182</v>
      </c>
      <c r="E37" s="3"/>
      <c r="F37" s="52"/>
      <c r="G37" s="52"/>
      <c r="H37" s="52"/>
      <c r="I37" s="52"/>
      <c r="J37" s="52"/>
      <c r="II37" s="52"/>
    </row>
    <row r="38" spans="1:243" x14ac:dyDescent="0.2">
      <c r="A38" s="491" t="s">
        <v>1320</v>
      </c>
      <c r="B38" s="491"/>
      <c r="C38" s="491"/>
      <c r="D38" s="3">
        <f>SUM(D35:D37)</f>
        <v>39993</v>
      </c>
      <c r="E38" s="3"/>
      <c r="F38" s="52"/>
      <c r="G38" s="52"/>
      <c r="H38" s="52"/>
      <c r="I38" s="52"/>
      <c r="J38" s="52"/>
      <c r="II38" s="52"/>
    </row>
    <row r="39" spans="1:243" x14ac:dyDescent="0.2">
      <c r="A39" s="491"/>
      <c r="B39" s="491"/>
      <c r="C39" s="491"/>
      <c r="D39" s="3"/>
      <c r="E39" s="3"/>
      <c r="F39" s="52"/>
      <c r="G39" s="52"/>
      <c r="H39" s="52"/>
      <c r="I39" s="52"/>
      <c r="J39" s="52"/>
      <c r="II39" s="52"/>
    </row>
    <row r="40" spans="1:243" ht="13.5" x14ac:dyDescent="0.25">
      <c r="A40" s="494" t="s">
        <v>555</v>
      </c>
      <c r="B40" s="491"/>
      <c r="C40" s="491"/>
      <c r="D40" s="3"/>
      <c r="E40" s="3">
        <v>75637</v>
      </c>
      <c r="F40" s="52">
        <v>76000</v>
      </c>
      <c r="G40" s="52">
        <v>81000</v>
      </c>
      <c r="H40" s="52">
        <v>81000</v>
      </c>
      <c r="I40" s="52">
        <v>81000</v>
      </c>
      <c r="J40" s="52"/>
      <c r="II40" s="52"/>
    </row>
    <row r="41" spans="1:243" x14ac:dyDescent="0.2">
      <c r="A41" s="491" t="s">
        <v>241</v>
      </c>
      <c r="B41" s="3">
        <v>4</v>
      </c>
      <c r="C41" s="3">
        <v>20250</v>
      </c>
      <c r="D41" s="3">
        <f>ROUND(B41*C41,0)</f>
        <v>81000</v>
      </c>
      <c r="E41" s="3"/>
      <c r="F41" s="52"/>
      <c r="G41" s="52"/>
      <c r="H41" s="52"/>
      <c r="I41" s="52"/>
      <c r="J41" s="52"/>
      <c r="II41" s="52"/>
    </row>
    <row r="42" spans="1:243" x14ac:dyDescent="0.2">
      <c r="A42" s="491"/>
      <c r="B42" s="491"/>
      <c r="C42" s="491"/>
      <c r="D42" s="3"/>
      <c r="E42" s="3"/>
      <c r="F42" s="52"/>
      <c r="G42" s="52"/>
      <c r="H42" s="52"/>
      <c r="I42" s="52"/>
      <c r="J42" s="52"/>
      <c r="II42" s="52"/>
    </row>
    <row r="43" spans="1:243" ht="13.5" x14ac:dyDescent="0.25">
      <c r="A43" s="494" t="s">
        <v>556</v>
      </c>
      <c r="B43" s="491"/>
      <c r="C43" s="491"/>
      <c r="D43" s="3"/>
      <c r="E43" s="3">
        <v>4980</v>
      </c>
      <c r="F43" s="52">
        <v>4950</v>
      </c>
      <c r="G43" s="52">
        <v>4950</v>
      </c>
      <c r="H43" s="52">
        <v>4950</v>
      </c>
      <c r="I43" s="52">
        <v>4950</v>
      </c>
      <c r="J43" s="52"/>
      <c r="II43" s="52"/>
    </row>
    <row r="44" spans="1:243" x14ac:dyDescent="0.2">
      <c r="A44" s="491" t="s">
        <v>440</v>
      </c>
      <c r="B44" s="3">
        <v>4</v>
      </c>
      <c r="C44" s="3">
        <v>1375</v>
      </c>
      <c r="D44" s="3">
        <f>ROUND(B44*C44,0)</f>
        <v>5500</v>
      </c>
      <c r="E44" s="3"/>
      <c r="F44" s="52"/>
      <c r="G44" s="52"/>
      <c r="H44" s="52"/>
      <c r="I44" s="52"/>
      <c r="J44" s="52"/>
      <c r="II44" s="52"/>
    </row>
    <row r="45" spans="1:243" ht="15" x14ac:dyDescent="0.35">
      <c r="A45" s="491" t="s">
        <v>243</v>
      </c>
      <c r="B45" s="3"/>
      <c r="C45" s="3"/>
      <c r="D45" s="14">
        <f>-C44*B44*0.1</f>
        <v>-550</v>
      </c>
      <c r="E45" s="3"/>
      <c r="F45" s="52"/>
      <c r="G45" s="52"/>
      <c r="H45" s="52"/>
      <c r="I45" s="52"/>
      <c r="J45" s="52"/>
      <c r="II45" s="52"/>
    </row>
    <row r="46" spans="1:243" x14ac:dyDescent="0.2">
      <c r="A46" s="491" t="s">
        <v>877</v>
      </c>
      <c r="B46" s="3"/>
      <c r="C46" s="3"/>
      <c r="D46" s="3">
        <f>SUM(D44:D45)</f>
        <v>4950</v>
      </c>
      <c r="E46" s="3"/>
      <c r="F46" s="52"/>
      <c r="G46" s="52"/>
      <c r="H46" s="52"/>
      <c r="I46" s="52"/>
      <c r="J46" s="52"/>
      <c r="II46" s="52"/>
    </row>
    <row r="47" spans="1:243" x14ac:dyDescent="0.2">
      <c r="A47" s="491"/>
      <c r="B47" s="491"/>
      <c r="C47" s="491"/>
      <c r="D47" s="3"/>
      <c r="E47" s="3"/>
      <c r="F47" s="52"/>
      <c r="G47" s="52"/>
      <c r="H47" s="52"/>
      <c r="I47" s="52"/>
      <c r="J47" s="52"/>
      <c r="II47" s="52"/>
    </row>
    <row r="48" spans="1:243" ht="13.5" x14ac:dyDescent="0.25">
      <c r="A48" s="494" t="s">
        <v>507</v>
      </c>
      <c r="B48" s="491"/>
      <c r="C48" s="491"/>
      <c r="D48" s="3"/>
      <c r="E48" s="3">
        <v>618</v>
      </c>
      <c r="F48" s="52">
        <v>540</v>
      </c>
      <c r="G48" s="52">
        <v>580</v>
      </c>
      <c r="H48" s="52">
        <v>580</v>
      </c>
      <c r="I48" s="52">
        <v>580</v>
      </c>
      <c r="J48" s="52"/>
      <c r="II48" s="52"/>
    </row>
    <row r="49" spans="1:243" x14ac:dyDescent="0.2">
      <c r="A49" s="491" t="s">
        <v>440</v>
      </c>
      <c r="B49" s="3">
        <v>4</v>
      </c>
      <c r="C49" s="3">
        <v>145</v>
      </c>
      <c r="D49" s="3">
        <f>ROUND(B49*C49,0)</f>
        <v>580</v>
      </c>
      <c r="E49" s="3"/>
      <c r="F49" s="52"/>
      <c r="G49" s="52"/>
      <c r="H49" s="52"/>
      <c r="I49" s="52"/>
      <c r="J49" s="52"/>
      <c r="II49" s="52"/>
    </row>
    <row r="50" spans="1:243" x14ac:dyDescent="0.2">
      <c r="A50" s="491"/>
      <c r="B50" s="491"/>
      <c r="C50" s="491"/>
      <c r="D50" s="3"/>
      <c r="E50" s="3"/>
      <c r="F50" s="52"/>
      <c r="G50" s="52"/>
      <c r="H50" s="52"/>
      <c r="I50" s="52"/>
      <c r="J50" s="52"/>
      <c r="II50" s="52"/>
    </row>
    <row r="51" spans="1:243" ht="13.5" x14ac:dyDescent="0.25">
      <c r="A51" s="494" t="s">
        <v>508</v>
      </c>
      <c r="B51" s="491"/>
      <c r="C51" s="491"/>
      <c r="D51" s="3"/>
      <c r="E51" s="3">
        <v>2843</v>
      </c>
      <c r="F51" s="52">
        <v>2100</v>
      </c>
      <c r="G51" s="52">
        <v>2260</v>
      </c>
      <c r="H51" s="52">
        <v>2260</v>
      </c>
      <c r="I51" s="52">
        <v>2260</v>
      </c>
      <c r="J51" s="52"/>
      <c r="II51" s="52"/>
    </row>
    <row r="52" spans="1:243" x14ac:dyDescent="0.2">
      <c r="A52" s="491" t="s">
        <v>440</v>
      </c>
      <c r="B52" s="3">
        <v>4</v>
      </c>
      <c r="C52" s="3">
        <v>565</v>
      </c>
      <c r="D52" s="3">
        <f>ROUND(B52*C52,0)</f>
        <v>2260</v>
      </c>
      <c r="E52" s="3"/>
      <c r="F52" s="52"/>
      <c r="G52" s="52"/>
      <c r="H52" s="52"/>
      <c r="I52" s="52"/>
      <c r="J52" s="52"/>
      <c r="II52" s="52"/>
    </row>
    <row r="53" spans="1:243" x14ac:dyDescent="0.2">
      <c r="A53" s="491"/>
      <c r="B53" s="491"/>
      <c r="C53" s="491"/>
      <c r="D53" s="3"/>
      <c r="E53" s="3"/>
      <c r="F53" s="52"/>
      <c r="G53" s="52"/>
      <c r="H53" s="52"/>
      <c r="I53" s="52"/>
      <c r="J53" s="52"/>
      <c r="II53" s="52"/>
    </row>
    <row r="54" spans="1:243" ht="13.5" x14ac:dyDescent="0.25">
      <c r="A54" s="494" t="s">
        <v>509</v>
      </c>
      <c r="B54" s="491"/>
      <c r="C54" s="491"/>
      <c r="D54" s="3"/>
      <c r="E54" s="3">
        <v>6385</v>
      </c>
      <c r="F54" s="52">
        <v>7396</v>
      </c>
      <c r="G54" s="52">
        <v>6463</v>
      </c>
      <c r="H54" s="52">
        <v>6463</v>
      </c>
      <c r="I54" s="52">
        <v>6689</v>
      </c>
      <c r="J54" s="52"/>
      <c r="II54" s="52"/>
    </row>
    <row r="55" spans="1:243" x14ac:dyDescent="0.2">
      <c r="A55" s="16" t="s">
        <v>1321</v>
      </c>
      <c r="B55" s="3">
        <f>+D9</f>
        <v>44304</v>
      </c>
      <c r="C55" s="17">
        <v>1.89E-3</v>
      </c>
      <c r="D55" s="3">
        <f>ROUND(B55*C55,0)</f>
        <v>84</v>
      </c>
      <c r="E55" s="3"/>
      <c r="F55" s="52"/>
      <c r="G55" s="52"/>
      <c r="H55" s="52"/>
      <c r="I55" s="52"/>
      <c r="J55" s="52"/>
      <c r="II55" s="52"/>
    </row>
    <row r="56" spans="1:243" x14ac:dyDescent="0.2">
      <c r="A56" s="27" t="s">
        <v>1325</v>
      </c>
      <c r="B56" s="3">
        <f>+D15-D13</f>
        <v>114528</v>
      </c>
      <c r="C56" s="17">
        <v>3.3739999999999999E-2</v>
      </c>
      <c r="D56" s="3">
        <f>ROUND(B56*C56,0)</f>
        <v>3864</v>
      </c>
      <c r="E56" s="3"/>
      <c r="F56" s="52"/>
      <c r="G56" s="52"/>
      <c r="H56" s="52"/>
      <c r="I56" s="52"/>
      <c r="J56" s="52"/>
      <c r="II56" s="52"/>
    </row>
    <row r="57" spans="1:243" x14ac:dyDescent="0.2">
      <c r="A57" s="491" t="s">
        <v>1006</v>
      </c>
      <c r="B57" s="3">
        <f>+D13</f>
        <v>76284</v>
      </c>
      <c r="C57" s="17">
        <v>3.3739999999999999E-2</v>
      </c>
      <c r="D57" s="3">
        <f>ROUND(B57*C57,0)</f>
        <v>2574</v>
      </c>
      <c r="E57" s="3"/>
      <c r="F57" s="52"/>
      <c r="G57" s="52"/>
      <c r="H57" s="52"/>
      <c r="I57" s="52"/>
      <c r="J57" s="52"/>
      <c r="II57" s="52"/>
    </row>
    <row r="58" spans="1:243" x14ac:dyDescent="0.2">
      <c r="A58" s="16" t="s">
        <v>315</v>
      </c>
      <c r="B58" s="3">
        <f>+D18</f>
        <v>60474</v>
      </c>
      <c r="C58" s="17">
        <v>1.89E-3</v>
      </c>
      <c r="D58" s="3">
        <f>ROUND(B58*C58,0)</f>
        <v>114</v>
      </c>
      <c r="E58" s="3"/>
      <c r="F58" s="52"/>
      <c r="G58" s="52"/>
      <c r="H58" s="52"/>
      <c r="I58" s="52"/>
      <c r="J58" s="52"/>
      <c r="II58" s="52"/>
    </row>
    <row r="59" spans="1:243" ht="15" x14ac:dyDescent="0.35">
      <c r="A59" s="16" t="s">
        <v>1327</v>
      </c>
      <c r="B59" s="3">
        <f>+D23</f>
        <v>25746</v>
      </c>
      <c r="C59" s="17">
        <v>1.89E-3</v>
      </c>
      <c r="D59" s="14">
        <f>ROUND(B59*C59,0)</f>
        <v>49</v>
      </c>
      <c r="E59" s="3"/>
      <c r="F59" s="52"/>
      <c r="G59" s="52"/>
      <c r="H59" s="52"/>
      <c r="I59" s="52"/>
      <c r="J59" s="52"/>
      <c r="II59" s="52"/>
    </row>
    <row r="60" spans="1:243" x14ac:dyDescent="0.2">
      <c r="A60" s="491" t="s">
        <v>1320</v>
      </c>
      <c r="B60" s="491"/>
      <c r="C60" s="491"/>
      <c r="D60" s="3">
        <f>SUM(D55:D59)+4</f>
        <v>6689</v>
      </c>
      <c r="E60" s="3"/>
      <c r="F60" s="52"/>
      <c r="G60" s="52"/>
      <c r="H60" s="52"/>
      <c r="I60" s="52"/>
      <c r="J60" s="52"/>
      <c r="II60" s="52"/>
    </row>
    <row r="61" spans="1:243" x14ac:dyDescent="0.2">
      <c r="A61" s="491"/>
      <c r="B61" s="491"/>
      <c r="C61" s="491"/>
      <c r="D61" s="3"/>
      <c r="E61" s="3"/>
      <c r="F61" s="52"/>
      <c r="G61" s="52"/>
      <c r="H61" s="52"/>
      <c r="I61" s="52"/>
      <c r="J61" s="52"/>
      <c r="II61" s="52"/>
    </row>
    <row r="62" spans="1:243" ht="13.5" x14ac:dyDescent="0.25">
      <c r="A62" s="494" t="s">
        <v>511</v>
      </c>
      <c r="B62" s="491"/>
      <c r="C62" s="491"/>
      <c r="D62" s="3"/>
      <c r="E62" s="3">
        <v>64</v>
      </c>
      <c r="F62" s="52">
        <v>100</v>
      </c>
      <c r="G62" s="52">
        <v>100</v>
      </c>
      <c r="H62" s="52">
        <v>100</v>
      </c>
      <c r="I62" s="52">
        <v>100</v>
      </c>
      <c r="J62" s="52"/>
      <c r="II62" s="52"/>
    </row>
    <row r="63" spans="1:243" x14ac:dyDescent="0.2">
      <c r="A63" s="16" t="s">
        <v>1321</v>
      </c>
      <c r="B63" s="3">
        <v>1</v>
      </c>
      <c r="C63" s="3">
        <v>20</v>
      </c>
      <c r="D63" s="3">
        <f>ROUND(B63*C63,0)</f>
        <v>20</v>
      </c>
      <c r="E63" s="3"/>
      <c r="F63" s="52"/>
      <c r="G63" s="52"/>
      <c r="H63" s="52"/>
      <c r="I63" s="52"/>
      <c r="J63" s="52"/>
      <c r="II63" s="52"/>
    </row>
    <row r="64" spans="1:243" x14ac:dyDescent="0.2">
      <c r="A64" s="16" t="s">
        <v>1322</v>
      </c>
      <c r="B64" s="3">
        <v>2</v>
      </c>
      <c r="C64" s="3">
        <v>20</v>
      </c>
      <c r="D64" s="3">
        <f>ROUND(B64*C64,0)</f>
        <v>40</v>
      </c>
      <c r="E64" s="3"/>
      <c r="F64" s="52"/>
      <c r="G64" s="52"/>
      <c r="H64" s="52"/>
      <c r="I64" s="52"/>
      <c r="J64" s="52"/>
      <c r="II64" s="52"/>
    </row>
    <row r="65" spans="1:243" x14ac:dyDescent="0.2">
      <c r="A65" s="16" t="s">
        <v>1323</v>
      </c>
      <c r="B65" s="3">
        <v>1</v>
      </c>
      <c r="C65" s="3">
        <v>20</v>
      </c>
      <c r="D65" s="3">
        <f>ROUND(B65*C65,0)</f>
        <v>20</v>
      </c>
      <c r="E65" s="3"/>
      <c r="F65" s="52"/>
      <c r="G65" s="52"/>
      <c r="H65" s="52"/>
      <c r="I65" s="52"/>
      <c r="J65" s="52"/>
      <c r="II65" s="52"/>
    </row>
    <row r="66" spans="1:243" x14ac:dyDescent="0.2">
      <c r="A66" s="16" t="s">
        <v>1989</v>
      </c>
      <c r="B66" s="3">
        <v>1</v>
      </c>
      <c r="C66" s="3">
        <v>20</v>
      </c>
      <c r="D66" s="21">
        <f>ROUND(B66*C66,0)</f>
        <v>20</v>
      </c>
      <c r="E66" s="3"/>
      <c r="F66" s="52"/>
      <c r="G66" s="52"/>
      <c r="H66" s="52"/>
      <c r="I66" s="52"/>
      <c r="J66" s="52"/>
      <c r="II66" s="52"/>
    </row>
    <row r="67" spans="1:243" x14ac:dyDescent="0.2">
      <c r="A67" s="491" t="s">
        <v>1320</v>
      </c>
      <c r="B67" s="3" t="s">
        <v>418</v>
      </c>
      <c r="C67" s="17" t="s">
        <v>418</v>
      </c>
      <c r="D67" s="3">
        <f>SUM(D63:D66)</f>
        <v>100</v>
      </c>
      <c r="E67" s="3"/>
      <c r="F67" s="52"/>
      <c r="G67" s="52"/>
      <c r="H67" s="52"/>
      <c r="I67" s="52"/>
      <c r="J67" s="52"/>
      <c r="II67" s="52"/>
    </row>
    <row r="68" spans="1:243" x14ac:dyDescent="0.2">
      <c r="A68" s="491"/>
      <c r="B68" s="491"/>
      <c r="C68" s="491"/>
      <c r="D68" s="3"/>
      <c r="E68" s="3"/>
      <c r="F68" s="52"/>
      <c r="G68" s="52"/>
      <c r="H68" s="52"/>
      <c r="I68" s="52"/>
      <c r="J68" s="52"/>
      <c r="II68" s="52"/>
    </row>
    <row r="69" spans="1:243" ht="13.5" x14ac:dyDescent="0.25">
      <c r="A69" s="494" t="s">
        <v>512</v>
      </c>
      <c r="B69" s="491"/>
      <c r="C69" s="491"/>
      <c r="D69" s="3"/>
      <c r="E69" s="3">
        <v>1364</v>
      </c>
      <c r="F69" s="52">
        <v>2500</v>
      </c>
      <c r="G69" s="52">
        <v>2500</v>
      </c>
      <c r="H69" s="52">
        <v>2500</v>
      </c>
      <c r="I69" s="52">
        <v>2500</v>
      </c>
      <c r="J69" s="52"/>
      <c r="II69" s="52"/>
    </row>
    <row r="70" spans="1:243" x14ac:dyDescent="0.2">
      <c r="A70" s="491" t="s">
        <v>1664</v>
      </c>
      <c r="B70" s="491"/>
      <c r="C70" s="491"/>
      <c r="D70" s="3">
        <v>2500</v>
      </c>
      <c r="E70" s="3"/>
      <c r="F70" s="52"/>
      <c r="G70" s="52"/>
      <c r="H70" s="52"/>
      <c r="I70" s="52"/>
      <c r="J70" s="52"/>
      <c r="II70" s="52"/>
    </row>
    <row r="71" spans="1:243" x14ac:dyDescent="0.2">
      <c r="A71" s="491" t="s">
        <v>418</v>
      </c>
      <c r="B71" s="491"/>
      <c r="C71" s="491"/>
      <c r="D71" s="3" t="s">
        <v>418</v>
      </c>
      <c r="E71" s="3"/>
      <c r="F71" s="52"/>
      <c r="G71" s="52"/>
      <c r="H71" s="52"/>
      <c r="I71" s="52"/>
      <c r="J71" s="52"/>
      <c r="II71" s="52"/>
    </row>
    <row r="72" spans="1:243" ht="13.5" x14ac:dyDescent="0.25">
      <c r="A72" s="494" t="s">
        <v>502</v>
      </c>
      <c r="B72" s="491"/>
      <c r="C72" s="491"/>
      <c r="D72" s="3"/>
      <c r="E72" s="3">
        <v>0</v>
      </c>
      <c r="F72" s="52">
        <v>100</v>
      </c>
      <c r="G72" s="52">
        <v>0</v>
      </c>
      <c r="H72" s="52">
        <v>0</v>
      </c>
      <c r="I72" s="52">
        <v>0</v>
      </c>
      <c r="J72" s="52"/>
      <c r="II72" s="52"/>
    </row>
    <row r="73" spans="1:243" x14ac:dyDescent="0.2">
      <c r="A73" s="491" t="s">
        <v>503</v>
      </c>
      <c r="B73" s="3"/>
      <c r="C73" s="491"/>
      <c r="D73" s="3">
        <v>0</v>
      </c>
      <c r="E73" s="3"/>
      <c r="F73" s="52"/>
      <c r="G73" s="52"/>
      <c r="H73" s="52"/>
      <c r="I73" s="52"/>
      <c r="J73" s="52"/>
      <c r="II73" s="52"/>
    </row>
    <row r="74" spans="1:243" x14ac:dyDescent="0.2">
      <c r="A74" s="491"/>
      <c r="B74" s="491"/>
      <c r="C74" s="491"/>
      <c r="D74" s="3"/>
      <c r="E74" s="3"/>
      <c r="F74" s="52"/>
      <c r="G74" s="52"/>
      <c r="H74" s="52"/>
      <c r="I74" s="52"/>
      <c r="J74" s="52"/>
      <c r="II74" s="52"/>
    </row>
    <row r="75" spans="1:243" ht="13.5" x14ac:dyDescent="0.25">
      <c r="A75" s="494" t="s">
        <v>959</v>
      </c>
      <c r="B75" s="491"/>
      <c r="C75" s="491"/>
      <c r="D75" s="3"/>
      <c r="E75" s="3">
        <v>241</v>
      </c>
      <c r="F75" s="52">
        <v>200</v>
      </c>
      <c r="G75" s="52">
        <v>200</v>
      </c>
      <c r="H75" s="52">
        <v>200</v>
      </c>
      <c r="I75" s="52">
        <v>200</v>
      </c>
      <c r="J75" s="52"/>
      <c r="II75" s="52"/>
    </row>
    <row r="76" spans="1:243" x14ac:dyDescent="0.2">
      <c r="A76" s="491" t="s">
        <v>909</v>
      </c>
      <c r="B76" s="491"/>
      <c r="C76" s="491"/>
      <c r="D76" s="3">
        <v>200</v>
      </c>
      <c r="E76" s="3"/>
      <c r="F76" s="52"/>
      <c r="G76" s="52"/>
      <c r="H76" s="52"/>
      <c r="I76" s="52"/>
      <c r="J76" s="52"/>
      <c r="II76" s="52"/>
    </row>
    <row r="77" spans="1:243" x14ac:dyDescent="0.2">
      <c r="A77" s="491"/>
      <c r="B77" s="491"/>
      <c r="C77" s="491"/>
      <c r="D77" s="3"/>
      <c r="E77" s="3"/>
      <c r="F77" s="52"/>
      <c r="G77" s="52"/>
      <c r="H77" s="52"/>
      <c r="I77" s="52"/>
      <c r="J77" s="52"/>
      <c r="II77" s="52"/>
    </row>
    <row r="78" spans="1:243" ht="13.5" x14ac:dyDescent="0.25">
      <c r="A78" s="494" t="s">
        <v>960</v>
      </c>
      <c r="B78" s="491"/>
      <c r="C78" s="491"/>
      <c r="D78" s="3"/>
      <c r="E78" s="3">
        <v>7805</v>
      </c>
      <c r="F78" s="52">
        <v>9100</v>
      </c>
      <c r="G78" s="52">
        <v>9100</v>
      </c>
      <c r="H78" s="52">
        <v>9100</v>
      </c>
      <c r="I78" s="52">
        <v>9100</v>
      </c>
      <c r="J78" s="52"/>
      <c r="II78" s="52"/>
    </row>
    <row r="79" spans="1:243" x14ac:dyDescent="0.2">
      <c r="A79" s="491" t="s">
        <v>346</v>
      </c>
      <c r="B79" s="3" t="s">
        <v>418</v>
      </c>
      <c r="C79" s="491"/>
      <c r="D79" s="3">
        <v>0</v>
      </c>
      <c r="E79" s="3"/>
      <c r="F79" s="52"/>
      <c r="G79" s="52"/>
      <c r="H79" s="52"/>
      <c r="I79" s="52"/>
      <c r="J79" s="52"/>
      <c r="II79" s="52"/>
    </row>
    <row r="80" spans="1:243" ht="15" x14ac:dyDescent="0.35">
      <c r="A80" s="491" t="s">
        <v>349</v>
      </c>
      <c r="B80" s="3"/>
      <c r="C80" s="491"/>
      <c r="D80" s="14">
        <v>9100</v>
      </c>
      <c r="E80" s="3"/>
      <c r="F80" s="3"/>
      <c r="I80" s="3"/>
      <c r="J80" s="3"/>
      <c r="II80" s="3"/>
    </row>
    <row r="81" spans="1:243" x14ac:dyDescent="0.2">
      <c r="A81" s="491" t="s">
        <v>1320</v>
      </c>
      <c r="B81" s="3"/>
      <c r="C81" s="491"/>
      <c r="D81" s="3">
        <f>SUM(D79:D80)</f>
        <v>9100</v>
      </c>
      <c r="E81" s="3"/>
      <c r="F81" s="52"/>
      <c r="G81" s="52"/>
      <c r="H81" s="52"/>
      <c r="I81" s="52"/>
      <c r="J81" s="52"/>
      <c r="II81" s="52"/>
    </row>
    <row r="82" spans="1:243" x14ac:dyDescent="0.2">
      <c r="A82" s="491"/>
      <c r="B82" s="491"/>
      <c r="C82" s="491"/>
      <c r="D82" s="491"/>
      <c r="E82" s="3"/>
      <c r="F82" s="52"/>
      <c r="G82" s="52"/>
      <c r="H82" s="52"/>
      <c r="I82" s="52"/>
      <c r="J82" s="52"/>
      <c r="II82" s="52"/>
    </row>
    <row r="83" spans="1:243" ht="13.5" x14ac:dyDescent="0.25">
      <c r="A83" s="494" t="s">
        <v>46</v>
      </c>
      <c r="B83" s="491"/>
      <c r="C83" s="491"/>
      <c r="D83" s="491"/>
      <c r="E83" s="3">
        <v>30</v>
      </c>
      <c r="F83" s="52">
        <v>71</v>
      </c>
      <c r="G83" s="52">
        <v>88</v>
      </c>
      <c r="H83" s="52">
        <v>88</v>
      </c>
      <c r="I83" s="52">
        <v>88</v>
      </c>
      <c r="J83" s="52"/>
      <c r="II83" s="52"/>
    </row>
    <row r="84" spans="1:243" x14ac:dyDescent="0.2">
      <c r="A84" s="491" t="s">
        <v>1355</v>
      </c>
      <c r="B84" s="3">
        <v>25</v>
      </c>
      <c r="C84" s="15">
        <v>3.5</v>
      </c>
      <c r="D84" s="3">
        <f>+C84*B84</f>
        <v>87.5</v>
      </c>
      <c r="E84" s="3"/>
      <c r="F84" s="52"/>
      <c r="G84" s="52"/>
      <c r="H84" s="52"/>
      <c r="I84" s="52"/>
      <c r="J84" s="52"/>
      <c r="II84" s="52"/>
    </row>
    <row r="85" spans="1:243" x14ac:dyDescent="0.2">
      <c r="A85" s="491"/>
      <c r="B85" s="3"/>
      <c r="C85" s="491"/>
      <c r="D85" s="17"/>
      <c r="E85" s="3"/>
      <c r="F85" s="52"/>
      <c r="G85" s="52"/>
      <c r="H85" s="52"/>
      <c r="I85" s="52"/>
      <c r="J85" s="52"/>
      <c r="II85" s="52"/>
    </row>
    <row r="86" spans="1:243" ht="13.5" x14ac:dyDescent="0.25">
      <c r="A86" s="494" t="s">
        <v>224</v>
      </c>
      <c r="B86" s="3"/>
      <c r="C86" s="491"/>
      <c r="D86" s="17"/>
      <c r="E86" s="3">
        <v>3174</v>
      </c>
      <c r="F86" s="52">
        <v>3220</v>
      </c>
      <c r="G86" s="52">
        <v>3220</v>
      </c>
      <c r="H86" s="52">
        <v>3220</v>
      </c>
      <c r="I86" s="52">
        <v>3220</v>
      </c>
      <c r="J86" s="52"/>
      <c r="II86" s="52"/>
    </row>
    <row r="87" spans="1:243" x14ac:dyDescent="0.2">
      <c r="A87" s="491" t="s">
        <v>1026</v>
      </c>
      <c r="B87" s="3"/>
      <c r="C87" s="491"/>
      <c r="D87" s="3">
        <v>2200</v>
      </c>
      <c r="E87" s="3"/>
      <c r="F87" s="52"/>
      <c r="G87" s="52"/>
      <c r="H87" s="52"/>
      <c r="I87" s="52"/>
      <c r="J87" s="52"/>
      <c r="II87" s="52"/>
    </row>
    <row r="88" spans="1:243" ht="15" x14ac:dyDescent="0.35">
      <c r="A88" s="491" t="s">
        <v>225</v>
      </c>
      <c r="B88" s="3"/>
      <c r="C88" s="491"/>
      <c r="D88" s="14">
        <v>1020</v>
      </c>
      <c r="E88" s="3"/>
      <c r="F88" s="52"/>
      <c r="G88" s="52"/>
      <c r="H88" s="52"/>
      <c r="I88" s="52"/>
      <c r="J88" s="52"/>
      <c r="II88" s="52"/>
    </row>
    <row r="89" spans="1:243" x14ac:dyDescent="0.2">
      <c r="A89" s="491" t="s">
        <v>1320</v>
      </c>
      <c r="B89" s="3"/>
      <c r="C89" s="491"/>
      <c r="D89" s="3">
        <f>SUM(D87:D88)</f>
        <v>3220</v>
      </c>
      <c r="E89" s="3"/>
      <c r="F89" s="52"/>
      <c r="G89" s="52"/>
      <c r="H89" s="52"/>
      <c r="I89" s="52"/>
      <c r="J89" s="52"/>
      <c r="II89" s="52"/>
    </row>
    <row r="90" spans="1:243" x14ac:dyDescent="0.2">
      <c r="A90" s="491"/>
      <c r="B90" s="491"/>
      <c r="C90" s="491"/>
      <c r="D90" s="3"/>
      <c r="E90" s="3"/>
      <c r="F90" s="52"/>
      <c r="G90" s="52"/>
      <c r="H90" s="52"/>
      <c r="I90" s="52"/>
      <c r="J90" s="52"/>
      <c r="II90" s="52"/>
    </row>
    <row r="91" spans="1:243" ht="13.5" x14ac:dyDescent="0.25">
      <c r="A91" s="494" t="s">
        <v>693</v>
      </c>
      <c r="B91" s="491"/>
      <c r="C91" s="491"/>
      <c r="D91" s="3"/>
      <c r="E91" s="3">
        <v>22233</v>
      </c>
      <c r="F91" s="52">
        <v>23393</v>
      </c>
      <c r="G91" s="52">
        <v>24538</v>
      </c>
      <c r="H91" s="52">
        <v>24538</v>
      </c>
      <c r="I91" s="52">
        <v>24538</v>
      </c>
      <c r="J91" s="52"/>
      <c r="II91" s="52"/>
    </row>
    <row r="92" spans="1:243" x14ac:dyDescent="0.2">
      <c r="A92" s="491" t="s">
        <v>145</v>
      </c>
      <c r="B92" s="3" t="s">
        <v>418</v>
      </c>
      <c r="C92" s="491"/>
      <c r="D92" s="3">
        <v>21938</v>
      </c>
      <c r="E92" s="3"/>
      <c r="F92" s="3"/>
      <c r="I92" s="3"/>
      <c r="J92" s="3"/>
      <c r="II92" s="3"/>
    </row>
    <row r="93" spans="1:243" x14ac:dyDescent="0.2">
      <c r="A93" s="491" t="s">
        <v>1946</v>
      </c>
      <c r="B93" s="491"/>
      <c r="C93" s="491"/>
      <c r="D93" s="3">
        <v>2100</v>
      </c>
      <c r="E93" s="3"/>
      <c r="F93" s="3"/>
      <c r="I93" s="3"/>
      <c r="J93" s="3"/>
      <c r="II93" s="3"/>
    </row>
    <row r="94" spans="1:243" ht="15" x14ac:dyDescent="0.35">
      <c r="A94" s="491" t="s">
        <v>941</v>
      </c>
      <c r="B94" s="491"/>
      <c r="C94" s="491"/>
      <c r="D94" s="14">
        <v>500</v>
      </c>
      <c r="E94" s="3"/>
      <c r="F94" s="52"/>
      <c r="G94" s="52"/>
      <c r="H94" s="52"/>
      <c r="I94" s="52"/>
      <c r="J94" s="52"/>
      <c r="II94" s="52"/>
    </row>
    <row r="95" spans="1:243" x14ac:dyDescent="0.2">
      <c r="A95" s="491" t="s">
        <v>1320</v>
      </c>
      <c r="B95" s="491"/>
      <c r="C95" s="491"/>
      <c r="D95" s="3">
        <f>SUM(D92:D94)</f>
        <v>24538</v>
      </c>
      <c r="E95" s="3"/>
      <c r="F95" s="52"/>
      <c r="G95" s="52"/>
      <c r="H95" s="52"/>
      <c r="I95" s="52"/>
      <c r="J95" s="52"/>
      <c r="II95" s="52"/>
    </row>
    <row r="96" spans="1:243" x14ac:dyDescent="0.2">
      <c r="A96" s="491"/>
      <c r="B96" s="491"/>
      <c r="C96" s="491"/>
      <c r="D96" s="3"/>
      <c r="E96" s="3"/>
      <c r="F96" s="52"/>
      <c r="G96" s="52"/>
      <c r="H96" s="52"/>
      <c r="I96" s="52"/>
      <c r="J96" s="52"/>
      <c r="II96" s="52"/>
    </row>
    <row r="97" spans="1:243" ht="13.5" x14ac:dyDescent="0.25">
      <c r="A97" s="20" t="s">
        <v>942</v>
      </c>
      <c r="B97" s="491"/>
      <c r="C97" s="491"/>
      <c r="D97" s="3"/>
      <c r="E97" s="3">
        <v>3245</v>
      </c>
      <c r="F97" s="52">
        <v>3904</v>
      </c>
      <c r="G97" s="52">
        <v>4099</v>
      </c>
      <c r="H97" s="52">
        <v>4099</v>
      </c>
      <c r="I97" s="52">
        <v>4099</v>
      </c>
      <c r="J97" s="52"/>
      <c r="II97" s="52"/>
    </row>
    <row r="98" spans="1:243" x14ac:dyDescent="0.2">
      <c r="A98" s="491" t="s">
        <v>943</v>
      </c>
      <c r="B98" s="491"/>
      <c r="C98" s="491"/>
      <c r="D98" s="3">
        <v>4099</v>
      </c>
      <c r="E98" s="3"/>
      <c r="F98" s="52"/>
      <c r="G98" s="52"/>
      <c r="H98" s="52"/>
      <c r="I98" s="52"/>
      <c r="J98" s="52"/>
      <c r="II98" s="52"/>
    </row>
    <row r="99" spans="1:243" x14ac:dyDescent="0.2">
      <c r="A99" s="491"/>
      <c r="B99" s="491"/>
      <c r="C99" s="491"/>
      <c r="D99" s="3"/>
      <c r="E99" s="3"/>
      <c r="F99" s="52"/>
      <c r="G99" s="52"/>
      <c r="H99" s="52"/>
      <c r="I99" s="52"/>
      <c r="J99" s="52"/>
      <c r="II99" s="52"/>
    </row>
    <row r="100" spans="1:243" ht="13.5" x14ac:dyDescent="0.25">
      <c r="A100" s="494" t="s">
        <v>944</v>
      </c>
      <c r="B100" s="491"/>
      <c r="C100" s="491"/>
      <c r="D100" s="3"/>
      <c r="E100" s="3">
        <v>78</v>
      </c>
      <c r="F100" s="52">
        <v>750</v>
      </c>
      <c r="G100" s="52">
        <v>750</v>
      </c>
      <c r="H100" s="52">
        <v>750</v>
      </c>
      <c r="I100" s="52">
        <v>750</v>
      </c>
      <c r="J100" s="52"/>
      <c r="II100" s="52"/>
    </row>
    <row r="101" spans="1:243" x14ac:dyDescent="0.2">
      <c r="A101" s="491" t="s">
        <v>557</v>
      </c>
      <c r="B101" s="491"/>
      <c r="C101" s="491"/>
      <c r="D101" s="3">
        <v>750</v>
      </c>
      <c r="E101" s="3"/>
      <c r="F101" s="52"/>
      <c r="G101" s="52"/>
      <c r="H101" s="52"/>
      <c r="I101" s="52"/>
      <c r="J101" s="52"/>
      <c r="II101" s="52"/>
    </row>
    <row r="102" spans="1:243" x14ac:dyDescent="0.2">
      <c r="A102" s="491" t="s">
        <v>418</v>
      </c>
      <c r="B102" s="491"/>
      <c r="C102" s="491"/>
      <c r="D102" s="3" t="s">
        <v>418</v>
      </c>
      <c r="E102" s="3"/>
      <c r="F102" s="52"/>
      <c r="G102" s="52"/>
      <c r="H102" s="52"/>
      <c r="I102" s="52"/>
      <c r="J102" s="52"/>
      <c r="II102" s="52"/>
    </row>
    <row r="103" spans="1:243" ht="13.5" x14ac:dyDescent="0.25">
      <c r="A103" s="494" t="s">
        <v>187</v>
      </c>
      <c r="B103" s="491"/>
      <c r="C103" s="491"/>
      <c r="D103" s="3"/>
      <c r="E103" s="3">
        <v>39</v>
      </c>
      <c r="F103" s="52">
        <v>100</v>
      </c>
      <c r="G103" s="52">
        <v>100</v>
      </c>
      <c r="H103" s="52">
        <v>100</v>
      </c>
      <c r="I103" s="52">
        <v>100</v>
      </c>
      <c r="J103" s="52"/>
      <c r="II103" s="52"/>
    </row>
    <row r="104" spans="1:243" x14ac:dyDescent="0.2">
      <c r="A104" s="491" t="s">
        <v>188</v>
      </c>
      <c r="B104" s="491"/>
      <c r="C104" s="491"/>
      <c r="D104" s="3">
        <v>100</v>
      </c>
      <c r="E104" s="3"/>
      <c r="F104" s="52"/>
      <c r="G104" s="52"/>
      <c r="H104" s="52"/>
      <c r="I104" s="52"/>
      <c r="J104" s="52"/>
      <c r="II104" s="52"/>
    </row>
    <row r="105" spans="1:243" x14ac:dyDescent="0.2">
      <c r="A105" s="491"/>
      <c r="B105" s="491"/>
      <c r="C105" s="491"/>
      <c r="D105" s="3"/>
      <c r="E105" s="3"/>
      <c r="F105" s="52"/>
      <c r="G105" s="52"/>
      <c r="H105" s="52"/>
      <c r="I105" s="52"/>
      <c r="J105" s="52"/>
      <c r="II105" s="52"/>
    </row>
    <row r="106" spans="1:243" ht="13.5" x14ac:dyDescent="0.25">
      <c r="A106" s="494" t="s">
        <v>1356</v>
      </c>
      <c r="B106" s="491"/>
      <c r="C106" s="491"/>
      <c r="D106" s="3"/>
      <c r="E106" s="3">
        <v>5681</v>
      </c>
      <c r="F106" s="52">
        <v>900</v>
      </c>
      <c r="G106" s="52">
        <v>1500</v>
      </c>
      <c r="H106" s="52">
        <v>1500</v>
      </c>
      <c r="I106" s="52">
        <v>1500</v>
      </c>
      <c r="J106" s="52"/>
      <c r="II106" s="52"/>
    </row>
    <row r="107" spans="1:243" x14ac:dyDescent="0.2">
      <c r="A107" s="491" t="s">
        <v>885</v>
      </c>
      <c r="B107" s="491"/>
      <c r="C107" s="491"/>
      <c r="D107" s="3">
        <v>1500</v>
      </c>
      <c r="E107" s="3"/>
      <c r="F107" s="52"/>
      <c r="G107" s="52"/>
      <c r="H107" s="52"/>
      <c r="I107" s="52"/>
      <c r="J107" s="52"/>
      <c r="II107" s="52"/>
    </row>
    <row r="108" spans="1:243" x14ac:dyDescent="0.2">
      <c r="A108" s="491"/>
      <c r="B108" s="491"/>
      <c r="C108" s="491"/>
      <c r="D108" s="491"/>
      <c r="E108" s="3"/>
      <c r="F108" s="52"/>
      <c r="G108" s="52"/>
      <c r="H108" s="52"/>
      <c r="I108" s="52"/>
      <c r="J108" s="52"/>
      <c r="II108" s="52"/>
    </row>
    <row r="109" spans="1:243" ht="13.5" x14ac:dyDescent="0.25">
      <c r="A109" s="494" t="s">
        <v>242</v>
      </c>
      <c r="B109" s="32" t="s">
        <v>418</v>
      </c>
      <c r="C109" s="491"/>
      <c r="D109" s="42"/>
      <c r="E109" s="3">
        <v>0</v>
      </c>
      <c r="F109" s="52">
        <v>500</v>
      </c>
      <c r="G109" s="52">
        <v>500</v>
      </c>
      <c r="H109" s="52">
        <v>500</v>
      </c>
      <c r="I109" s="52">
        <v>500</v>
      </c>
      <c r="J109" s="52"/>
      <c r="II109" s="52"/>
    </row>
    <row r="110" spans="1:243" x14ac:dyDescent="0.2">
      <c r="A110" s="491" t="s">
        <v>2025</v>
      </c>
      <c r="B110" s="3" t="s">
        <v>418</v>
      </c>
      <c r="C110" s="491"/>
      <c r="D110" s="3">
        <v>500</v>
      </c>
      <c r="E110" s="3"/>
      <c r="F110" s="3"/>
      <c r="I110" s="3"/>
      <c r="J110" s="3"/>
      <c r="II110" s="3"/>
    </row>
    <row r="111" spans="1:243" x14ac:dyDescent="0.2">
      <c r="A111" s="491"/>
      <c r="B111" s="3"/>
      <c r="C111" s="491"/>
      <c r="D111" s="3"/>
      <c r="E111" s="3"/>
      <c r="F111" s="3"/>
      <c r="I111" s="3"/>
      <c r="J111" s="3"/>
      <c r="II111" s="3"/>
    </row>
    <row r="112" spans="1:243" ht="13.5" x14ac:dyDescent="0.25">
      <c r="A112" s="494" t="s">
        <v>832</v>
      </c>
      <c r="B112" s="491"/>
      <c r="C112" s="491"/>
      <c r="D112" s="491"/>
      <c r="E112" s="3">
        <v>899</v>
      </c>
      <c r="F112" s="52">
        <v>2000</v>
      </c>
      <c r="G112" s="52">
        <v>2000</v>
      </c>
      <c r="H112" s="52">
        <v>2000</v>
      </c>
      <c r="I112" s="52">
        <v>2000</v>
      </c>
      <c r="J112" s="52"/>
      <c r="II112" s="52"/>
    </row>
    <row r="113" spans="1:243" x14ac:dyDescent="0.2">
      <c r="A113" s="491" t="s">
        <v>45</v>
      </c>
      <c r="B113" s="491"/>
      <c r="C113" s="491"/>
      <c r="D113" s="3">
        <v>500</v>
      </c>
      <c r="E113" s="3"/>
      <c r="F113" s="52"/>
      <c r="G113" s="52"/>
      <c r="H113" s="52"/>
      <c r="I113" s="52"/>
      <c r="J113" s="52"/>
      <c r="II113" s="52"/>
    </row>
    <row r="114" spans="1:243" x14ac:dyDescent="0.2">
      <c r="A114" s="491" t="s">
        <v>1947</v>
      </c>
      <c r="B114" s="491"/>
      <c r="C114" s="491"/>
      <c r="D114" s="3">
        <v>600</v>
      </c>
      <c r="E114" s="3"/>
      <c r="F114" s="52"/>
      <c r="G114" s="52"/>
      <c r="H114" s="52"/>
      <c r="I114" s="52"/>
      <c r="J114" s="52"/>
      <c r="II114" s="52"/>
    </row>
    <row r="115" spans="1:243" x14ac:dyDescent="0.2">
      <c r="A115" s="491" t="s">
        <v>1948</v>
      </c>
      <c r="B115" s="491"/>
      <c r="C115" s="491"/>
      <c r="D115" s="3">
        <v>700</v>
      </c>
      <c r="E115" s="3"/>
      <c r="F115" s="52"/>
      <c r="G115" s="52"/>
      <c r="H115" s="52"/>
      <c r="I115" s="52"/>
      <c r="J115" s="52"/>
      <c r="II115" s="52"/>
    </row>
    <row r="116" spans="1:243" ht="15" x14ac:dyDescent="0.35">
      <c r="A116" s="491" t="s">
        <v>1380</v>
      </c>
      <c r="B116" s="491"/>
      <c r="C116" s="491"/>
      <c r="D116" s="14">
        <v>200</v>
      </c>
      <c r="E116" s="3"/>
      <c r="F116" s="52"/>
      <c r="G116" s="52"/>
      <c r="H116" s="52"/>
      <c r="I116" s="52"/>
      <c r="J116" s="52"/>
      <c r="II116" s="52"/>
    </row>
    <row r="117" spans="1:243" x14ac:dyDescent="0.2">
      <c r="A117" s="491" t="s">
        <v>1320</v>
      </c>
      <c r="B117" s="491"/>
      <c r="C117" s="491"/>
      <c r="D117" s="3">
        <f>SUM(D113:D116)</f>
        <v>2000</v>
      </c>
      <c r="E117" s="3"/>
      <c r="F117" s="52"/>
      <c r="G117" s="52"/>
      <c r="H117" s="52"/>
      <c r="I117" s="52"/>
      <c r="J117" s="52"/>
      <c r="II117" s="52"/>
    </row>
    <row r="118" spans="1:243" x14ac:dyDescent="0.2">
      <c r="A118" s="491"/>
      <c r="B118" s="491"/>
      <c r="C118" s="491"/>
      <c r="D118" s="3"/>
      <c r="E118" s="3"/>
      <c r="F118" s="52"/>
      <c r="G118" s="52"/>
      <c r="H118" s="52"/>
      <c r="I118" s="52"/>
      <c r="J118" s="52"/>
      <c r="II118" s="52"/>
    </row>
    <row r="119" spans="1:243" ht="13.5" x14ac:dyDescent="0.25">
      <c r="A119" s="494" t="s">
        <v>22</v>
      </c>
      <c r="B119" s="491"/>
      <c r="C119" s="491"/>
      <c r="D119" s="42"/>
      <c r="E119" s="3">
        <v>1007</v>
      </c>
      <c r="F119" s="52">
        <v>750</v>
      </c>
      <c r="G119" s="52">
        <v>1000</v>
      </c>
      <c r="H119" s="52">
        <v>1000</v>
      </c>
      <c r="I119" s="52">
        <v>1000</v>
      </c>
      <c r="J119" s="52"/>
      <c r="II119" s="52"/>
    </row>
    <row r="120" spans="1:243" x14ac:dyDescent="0.2">
      <c r="A120" s="491" t="s">
        <v>23</v>
      </c>
      <c r="B120" s="491"/>
      <c r="C120" s="491"/>
      <c r="D120" s="3">
        <v>500</v>
      </c>
      <c r="E120" s="3"/>
      <c r="F120" s="52"/>
      <c r="G120" s="52"/>
      <c r="H120" s="52"/>
      <c r="I120" s="52"/>
      <c r="J120" s="52"/>
      <c r="II120" s="52"/>
    </row>
    <row r="121" spans="1:243" ht="15" x14ac:dyDescent="0.35">
      <c r="A121" s="491" t="s">
        <v>856</v>
      </c>
      <c r="B121" s="491"/>
      <c r="C121" s="491"/>
      <c r="D121" s="14">
        <v>500</v>
      </c>
      <c r="E121" s="3"/>
      <c r="F121" s="52"/>
      <c r="G121" s="52"/>
      <c r="H121" s="52"/>
      <c r="I121" s="52"/>
      <c r="J121" s="52"/>
      <c r="II121" s="52"/>
    </row>
    <row r="122" spans="1:243" x14ac:dyDescent="0.2">
      <c r="A122" s="491" t="s">
        <v>1320</v>
      </c>
      <c r="B122" s="491"/>
      <c r="C122" s="491"/>
      <c r="D122" s="3">
        <f>SUM(D120:D121)</f>
        <v>1000</v>
      </c>
      <c r="E122" s="3"/>
      <c r="F122" s="52"/>
      <c r="G122" s="52"/>
      <c r="H122" s="52"/>
      <c r="I122" s="52"/>
      <c r="J122" s="52"/>
      <c r="II122" s="52"/>
    </row>
    <row r="123" spans="1:243" x14ac:dyDescent="0.2">
      <c r="A123" s="491"/>
      <c r="B123" s="491"/>
      <c r="C123" s="491"/>
      <c r="D123" s="3"/>
      <c r="E123" s="3"/>
      <c r="F123" s="52"/>
      <c r="G123" s="52"/>
      <c r="H123" s="52"/>
      <c r="I123" s="52"/>
      <c r="J123" s="52"/>
      <c r="II123" s="52"/>
    </row>
    <row r="124" spans="1:243" ht="13.5" x14ac:dyDescent="0.25">
      <c r="A124" s="494" t="s">
        <v>1416</v>
      </c>
      <c r="B124" s="491"/>
      <c r="C124" s="491"/>
      <c r="D124" s="3"/>
      <c r="E124" s="11">
        <v>337</v>
      </c>
      <c r="F124" s="52">
        <v>500</v>
      </c>
      <c r="G124" s="52">
        <v>500</v>
      </c>
      <c r="H124" s="52">
        <v>500</v>
      </c>
      <c r="I124" s="52">
        <v>500</v>
      </c>
      <c r="J124" s="52"/>
      <c r="II124" s="52"/>
    </row>
    <row r="125" spans="1:243" x14ac:dyDescent="0.2">
      <c r="A125" s="491" t="s">
        <v>2026</v>
      </c>
      <c r="B125" s="491"/>
      <c r="C125" s="491"/>
      <c r="D125" s="11">
        <v>500</v>
      </c>
      <c r="E125" s="3"/>
      <c r="F125" s="52"/>
      <c r="G125" s="52"/>
      <c r="H125" s="52"/>
      <c r="I125" s="52"/>
      <c r="J125" s="52"/>
      <c r="II125" s="52"/>
    </row>
    <row r="126" spans="1:243" x14ac:dyDescent="0.2">
      <c r="A126" s="491"/>
      <c r="B126" s="491"/>
      <c r="C126" s="491"/>
      <c r="D126" s="491"/>
      <c r="E126" s="3"/>
      <c r="F126" s="52"/>
      <c r="G126" s="52"/>
      <c r="H126" s="52"/>
      <c r="I126" s="52"/>
      <c r="J126" s="52"/>
      <c r="II126" s="52"/>
    </row>
    <row r="127" spans="1:243" ht="13.5" x14ac:dyDescent="0.25">
      <c r="A127" s="494" t="s">
        <v>694</v>
      </c>
      <c r="B127" s="491"/>
      <c r="C127" s="491"/>
      <c r="D127" s="42"/>
      <c r="E127" s="3">
        <v>1148</v>
      </c>
      <c r="F127" s="52">
        <v>5168</v>
      </c>
      <c r="G127" s="52">
        <v>5168</v>
      </c>
      <c r="H127" s="52">
        <v>5168</v>
      </c>
      <c r="I127" s="52">
        <v>5168</v>
      </c>
      <c r="J127" s="52"/>
      <c r="II127" s="52"/>
    </row>
    <row r="128" spans="1:243" x14ac:dyDescent="0.2">
      <c r="A128" s="491" t="s">
        <v>695</v>
      </c>
      <c r="B128" s="491"/>
      <c r="C128" s="491"/>
      <c r="D128" s="491"/>
      <c r="E128" s="3"/>
      <c r="F128" s="52"/>
      <c r="G128" s="52"/>
      <c r="H128" s="52"/>
      <c r="I128" s="52"/>
      <c r="J128" s="52"/>
      <c r="II128" s="52"/>
    </row>
    <row r="129" spans="1:243" x14ac:dyDescent="0.2">
      <c r="A129" s="491" t="s">
        <v>1949</v>
      </c>
      <c r="B129" s="491"/>
      <c r="C129" s="491"/>
      <c r="D129" s="3">
        <v>850</v>
      </c>
      <c r="E129" s="3"/>
      <c r="F129" s="3"/>
      <c r="I129" s="3"/>
      <c r="J129" s="3"/>
      <c r="II129" s="3"/>
    </row>
    <row r="130" spans="1:243" x14ac:dyDescent="0.2">
      <c r="A130" s="491" t="s">
        <v>1950</v>
      </c>
      <c r="B130" s="491"/>
      <c r="C130" s="491"/>
      <c r="D130" s="3">
        <v>1050</v>
      </c>
      <c r="E130" s="3"/>
      <c r="F130" s="3"/>
      <c r="I130" s="3"/>
      <c r="J130" s="3"/>
      <c r="II130" s="3"/>
    </row>
    <row r="131" spans="1:243" x14ac:dyDescent="0.2">
      <c r="A131" s="491" t="s">
        <v>40</v>
      </c>
      <c r="B131" s="491"/>
      <c r="C131" s="491"/>
      <c r="D131" s="3">
        <v>250</v>
      </c>
      <c r="E131" s="3"/>
      <c r="F131" s="3"/>
      <c r="I131" s="3"/>
      <c r="J131" s="3"/>
      <c r="II131" s="3"/>
    </row>
    <row r="132" spans="1:243" x14ac:dyDescent="0.2">
      <c r="A132" s="491" t="s">
        <v>573</v>
      </c>
      <c r="B132" s="491"/>
      <c r="C132" s="491"/>
      <c r="D132" s="3">
        <v>200</v>
      </c>
      <c r="E132" s="3"/>
      <c r="F132" s="52"/>
      <c r="G132" s="52"/>
      <c r="H132" s="52"/>
      <c r="I132" s="52"/>
      <c r="J132" s="52"/>
      <c r="II132" s="52"/>
    </row>
    <row r="133" spans="1:243" x14ac:dyDescent="0.2">
      <c r="A133" s="491" t="s">
        <v>1636</v>
      </c>
      <c r="B133" s="491"/>
      <c r="C133" s="491"/>
      <c r="D133" s="3">
        <v>400</v>
      </c>
      <c r="E133" s="3"/>
      <c r="F133" s="52"/>
      <c r="G133" s="52"/>
      <c r="H133" s="52"/>
      <c r="I133" s="52"/>
      <c r="J133" s="52"/>
      <c r="II133" s="52"/>
    </row>
    <row r="134" spans="1:243" x14ac:dyDescent="0.2">
      <c r="A134" s="491" t="s">
        <v>1194</v>
      </c>
      <c r="B134" s="491"/>
      <c r="C134" s="491"/>
      <c r="D134" s="3">
        <v>380</v>
      </c>
      <c r="E134" s="3"/>
      <c r="F134" s="52"/>
      <c r="G134" s="52"/>
      <c r="H134" s="52"/>
      <c r="I134" s="52"/>
      <c r="J134" s="52"/>
      <c r="II134" s="52"/>
    </row>
    <row r="135" spans="1:243" x14ac:dyDescent="0.2">
      <c r="A135" s="491" t="s">
        <v>2525</v>
      </c>
      <c r="B135" s="491"/>
      <c r="C135" s="491"/>
      <c r="D135" s="3">
        <v>150</v>
      </c>
      <c r="E135" s="3"/>
      <c r="F135" s="52"/>
      <c r="G135" s="52"/>
      <c r="H135" s="52"/>
      <c r="I135" s="52"/>
      <c r="J135" s="52"/>
      <c r="II135" s="52"/>
    </row>
    <row r="136" spans="1:243" x14ac:dyDescent="0.2">
      <c r="A136" s="491" t="s">
        <v>423</v>
      </c>
      <c r="B136" s="491"/>
      <c r="C136" s="491"/>
      <c r="D136" s="3">
        <v>200</v>
      </c>
      <c r="E136" s="3"/>
      <c r="F136" s="52"/>
      <c r="G136" s="52"/>
      <c r="H136" s="52"/>
      <c r="I136" s="52"/>
      <c r="J136" s="52"/>
      <c r="II136" s="52"/>
    </row>
    <row r="137" spans="1:243" ht="15" x14ac:dyDescent="0.35">
      <c r="A137" s="491" t="s">
        <v>424</v>
      </c>
      <c r="B137" s="491"/>
      <c r="C137" s="491"/>
      <c r="D137" s="14">
        <v>1688</v>
      </c>
      <c r="E137" s="3"/>
      <c r="F137" s="52"/>
      <c r="G137" s="52"/>
      <c r="H137" s="52"/>
      <c r="I137" s="52"/>
      <c r="J137" s="52"/>
      <c r="II137" s="52"/>
    </row>
    <row r="138" spans="1:243" x14ac:dyDescent="0.2">
      <c r="A138" s="491" t="s">
        <v>425</v>
      </c>
      <c r="B138" s="491"/>
      <c r="C138" s="491"/>
      <c r="D138" s="3">
        <f>SUM(D129:D137)</f>
        <v>5168</v>
      </c>
      <c r="E138" s="3"/>
      <c r="F138" s="52"/>
      <c r="G138" s="52"/>
      <c r="H138" s="52"/>
      <c r="I138" s="52"/>
      <c r="J138" s="52"/>
      <c r="II138" s="52"/>
    </row>
    <row r="139" spans="1:243" x14ac:dyDescent="0.2">
      <c r="A139" s="491"/>
      <c r="B139" s="491"/>
      <c r="C139" s="491"/>
      <c r="D139" s="3"/>
      <c r="E139" s="3"/>
      <c r="F139" s="52"/>
      <c r="G139" s="52"/>
      <c r="H139" s="52"/>
      <c r="I139" s="52"/>
      <c r="J139" s="52"/>
      <c r="II139" s="52"/>
    </row>
    <row r="140" spans="1:243" ht="13.5" x14ac:dyDescent="0.25">
      <c r="A140" s="494" t="s">
        <v>521</v>
      </c>
      <c r="B140" s="491"/>
      <c r="C140" s="491"/>
      <c r="D140" s="491"/>
      <c r="E140" s="3">
        <v>4540</v>
      </c>
      <c r="F140" s="52">
        <v>3000</v>
      </c>
      <c r="G140" s="52">
        <v>3000</v>
      </c>
      <c r="H140" s="52">
        <v>3000</v>
      </c>
      <c r="I140" s="52">
        <v>3000</v>
      </c>
      <c r="J140" s="52"/>
      <c r="II140" s="52"/>
    </row>
    <row r="141" spans="1:243" x14ac:dyDescent="0.2">
      <c r="A141" s="491" t="s">
        <v>234</v>
      </c>
      <c r="B141" s="491"/>
      <c r="C141" s="491"/>
      <c r="D141" s="3">
        <v>3000</v>
      </c>
      <c r="E141" s="3"/>
      <c r="F141" s="3"/>
      <c r="I141" s="3"/>
      <c r="J141" s="3"/>
      <c r="II141" s="52"/>
    </row>
    <row r="142" spans="1:243" x14ac:dyDescent="0.2">
      <c r="A142" s="491"/>
      <c r="B142" s="491"/>
      <c r="C142" s="491"/>
      <c r="D142" s="3"/>
      <c r="E142" s="3"/>
      <c r="F142" s="3"/>
      <c r="I142" s="3"/>
      <c r="J142" s="3"/>
      <c r="II142" s="52"/>
    </row>
    <row r="143" spans="1:243" ht="13.5" x14ac:dyDescent="0.25">
      <c r="A143" s="494" t="s">
        <v>117</v>
      </c>
      <c r="B143" s="491"/>
      <c r="C143" s="491"/>
      <c r="D143" s="3"/>
      <c r="E143" s="3"/>
      <c r="F143" s="3"/>
      <c r="I143" s="3"/>
      <c r="J143" s="3"/>
      <c r="II143" s="52"/>
    </row>
    <row r="144" spans="1:243" ht="15" x14ac:dyDescent="0.35">
      <c r="A144" s="491"/>
      <c r="B144" s="491"/>
      <c r="C144" s="491"/>
      <c r="D144" s="491"/>
      <c r="E144" s="3"/>
      <c r="F144" s="14"/>
      <c r="G144" s="14"/>
      <c r="H144" s="14"/>
      <c r="I144" s="14"/>
      <c r="J144" s="14"/>
      <c r="II144" s="14"/>
    </row>
    <row r="145" spans="1:243" ht="15" x14ac:dyDescent="0.35">
      <c r="A145" s="494" t="s">
        <v>429</v>
      </c>
      <c r="B145" s="491"/>
      <c r="C145" s="491"/>
      <c r="D145" s="491"/>
      <c r="E145" s="3">
        <v>0</v>
      </c>
      <c r="F145" s="14"/>
      <c r="G145" s="14"/>
      <c r="H145" s="14"/>
      <c r="I145" s="14"/>
      <c r="J145" s="14"/>
      <c r="II145" s="14"/>
    </row>
    <row r="146" spans="1:243" x14ac:dyDescent="0.2">
      <c r="A146" s="491"/>
      <c r="B146" s="491"/>
      <c r="C146" s="491"/>
      <c r="D146" s="491"/>
      <c r="E146" s="3"/>
      <c r="F146" s="3"/>
      <c r="I146" s="3"/>
      <c r="J146" s="3"/>
      <c r="II146" s="3"/>
    </row>
    <row r="147" spans="1:243" ht="13.5" x14ac:dyDescent="0.25">
      <c r="A147" s="494" t="s">
        <v>1979</v>
      </c>
      <c r="B147" s="491"/>
      <c r="C147" s="491"/>
      <c r="D147" s="491"/>
      <c r="E147" s="3">
        <v>0</v>
      </c>
      <c r="F147" s="3"/>
      <c r="I147" s="3"/>
      <c r="J147" s="3"/>
      <c r="II147" s="3"/>
    </row>
    <row r="148" spans="1:243" x14ac:dyDescent="0.2">
      <c r="A148" s="27" t="s">
        <v>1980</v>
      </c>
      <c r="B148" s="491"/>
      <c r="C148" s="491"/>
      <c r="D148" s="491">
        <v>0</v>
      </c>
      <c r="E148" s="3"/>
      <c r="F148" s="3"/>
      <c r="I148" s="3"/>
      <c r="J148" s="3"/>
      <c r="II148" s="3"/>
    </row>
    <row r="149" spans="1:243" x14ac:dyDescent="0.2">
      <c r="A149" s="491"/>
      <c r="B149" s="491"/>
      <c r="C149" s="491"/>
      <c r="D149" s="491"/>
      <c r="E149" s="3"/>
      <c r="F149" s="3"/>
      <c r="I149" s="3"/>
      <c r="J149" s="3"/>
      <c r="II149" s="3"/>
    </row>
    <row r="150" spans="1:243" ht="13.5" x14ac:dyDescent="0.25">
      <c r="A150" s="494" t="s">
        <v>284</v>
      </c>
      <c r="B150" s="491"/>
      <c r="C150" s="491"/>
      <c r="D150" s="42"/>
      <c r="E150" s="3">
        <v>963</v>
      </c>
      <c r="F150" s="3">
        <v>7500</v>
      </c>
      <c r="G150" s="3">
        <v>1000</v>
      </c>
      <c r="H150" s="3">
        <v>1000</v>
      </c>
      <c r="I150" s="3">
        <v>1000</v>
      </c>
      <c r="J150" s="3"/>
      <c r="II150" s="3"/>
    </row>
    <row r="151" spans="1:243" ht="15" x14ac:dyDescent="0.35">
      <c r="A151" s="491"/>
      <c r="B151" s="491"/>
      <c r="C151" s="491"/>
      <c r="D151" s="3">
        <v>0</v>
      </c>
      <c r="E151" s="14"/>
      <c r="F151" s="3"/>
      <c r="I151" s="3"/>
      <c r="J151" s="3"/>
      <c r="II151" s="3"/>
    </row>
    <row r="152" spans="1:243" ht="15" x14ac:dyDescent="0.35">
      <c r="A152" s="491"/>
      <c r="B152" s="491"/>
      <c r="C152" s="491"/>
      <c r="D152" s="3"/>
      <c r="E152" s="14"/>
      <c r="F152" s="3"/>
      <c r="I152" s="3"/>
      <c r="J152" s="3"/>
      <c r="II152" s="3"/>
    </row>
    <row r="153" spans="1:243" ht="15" x14ac:dyDescent="0.35">
      <c r="A153" s="494" t="s">
        <v>2068</v>
      </c>
      <c r="B153" s="491"/>
      <c r="C153" s="21"/>
      <c r="D153" s="491"/>
      <c r="E153" s="471">
        <v>5000</v>
      </c>
      <c r="F153" s="471">
        <v>5000</v>
      </c>
      <c r="G153" s="471">
        <v>5000</v>
      </c>
      <c r="H153" s="471">
        <v>5000</v>
      </c>
      <c r="I153" s="471">
        <v>5000</v>
      </c>
      <c r="J153" s="471"/>
      <c r="II153" s="3"/>
    </row>
    <row r="154" spans="1:243" x14ac:dyDescent="0.2">
      <c r="A154" s="491"/>
      <c r="B154" s="491"/>
      <c r="C154" s="491"/>
      <c r="D154" s="491"/>
      <c r="E154" s="491"/>
      <c r="F154" s="453"/>
      <c r="I154" s="3"/>
      <c r="J154" s="416"/>
      <c r="II154" s="3"/>
    </row>
    <row r="155" spans="1:243" ht="13.5" x14ac:dyDescent="0.25">
      <c r="A155" s="58" t="s">
        <v>418</v>
      </c>
      <c r="B155" s="491"/>
      <c r="C155" s="491"/>
      <c r="D155" s="3"/>
      <c r="E155" s="3"/>
      <c r="F155" s="3"/>
      <c r="I155" s="3"/>
      <c r="J155" s="3"/>
      <c r="II155" s="3"/>
    </row>
    <row r="156" spans="1:243" x14ac:dyDescent="0.2">
      <c r="A156" s="23" t="s">
        <v>1405</v>
      </c>
      <c r="B156" s="491"/>
      <c r="C156" s="491"/>
      <c r="D156" s="3"/>
      <c r="E156" s="3">
        <f>SUM(E6:E153)</f>
        <v>517416</v>
      </c>
      <c r="F156" s="3">
        <f>SUM(F6:F153)</f>
        <v>536593</v>
      </c>
      <c r="G156" s="3">
        <f>SUM(G6:G153)</f>
        <v>532863</v>
      </c>
      <c r="H156" s="3">
        <f>SUM(H6:H153)</f>
        <v>532863</v>
      </c>
      <c r="I156" s="3">
        <f>SUM(I6:I154)</f>
        <v>546053</v>
      </c>
      <c r="J156" s="3">
        <f>SUM(J6:J154)</f>
        <v>0</v>
      </c>
      <c r="II156" s="3"/>
    </row>
    <row r="157" spans="1:243" x14ac:dyDescent="0.2">
      <c r="A157" s="23"/>
      <c r="B157" s="491"/>
      <c r="C157" s="491"/>
      <c r="D157" s="3"/>
      <c r="E157" s="3"/>
      <c r="F157" s="3"/>
      <c r="I157" s="3"/>
      <c r="J157" s="3"/>
      <c r="II157" s="3"/>
    </row>
    <row r="158" spans="1:243" x14ac:dyDescent="0.2">
      <c r="A158" s="23"/>
      <c r="B158" s="491"/>
      <c r="C158" s="491"/>
      <c r="D158" s="3"/>
      <c r="E158" s="3"/>
      <c r="F158" s="3"/>
      <c r="I158" s="3"/>
      <c r="J158" s="3"/>
      <c r="II158" s="3"/>
    </row>
    <row r="159" spans="1:243" x14ac:dyDescent="0.2">
      <c r="A159" s="491" t="s">
        <v>628</v>
      </c>
      <c r="B159" s="491"/>
      <c r="C159" s="491"/>
      <c r="D159" s="491"/>
      <c r="E159" s="3">
        <f t="shared" ref="E159:J159" si="0">SUM(E6:E67)</f>
        <v>459632</v>
      </c>
      <c r="F159" s="3">
        <f t="shared" si="0"/>
        <v>467937</v>
      </c>
      <c r="G159" s="3">
        <f t="shared" si="0"/>
        <v>468600</v>
      </c>
      <c r="H159" s="3">
        <f t="shared" ref="H159" si="1">SUM(H6:H67)</f>
        <v>468600</v>
      </c>
      <c r="I159" s="3">
        <f t="shared" si="0"/>
        <v>481790</v>
      </c>
      <c r="J159" s="3">
        <f t="shared" si="0"/>
        <v>0</v>
      </c>
      <c r="II159" s="3"/>
    </row>
    <row r="160" spans="1:243" x14ac:dyDescent="0.2">
      <c r="A160" s="491" t="s">
        <v>1024</v>
      </c>
      <c r="B160" s="491"/>
      <c r="C160" s="491"/>
      <c r="D160" s="491"/>
      <c r="E160" s="3">
        <f t="shared" ref="E160:J160" si="2">SUM(E69:E144)</f>
        <v>51821</v>
      </c>
      <c r="F160" s="3">
        <f t="shared" si="2"/>
        <v>56156</v>
      </c>
      <c r="G160" s="3">
        <f t="shared" si="2"/>
        <v>58263</v>
      </c>
      <c r="H160" s="3">
        <f t="shared" ref="H160" si="3">SUM(H69:H144)</f>
        <v>58263</v>
      </c>
      <c r="I160" s="3">
        <f t="shared" si="2"/>
        <v>58263</v>
      </c>
      <c r="J160" s="3">
        <f t="shared" si="2"/>
        <v>0</v>
      </c>
      <c r="II160" s="3"/>
    </row>
    <row r="161" spans="1:243" ht="15" x14ac:dyDescent="0.35">
      <c r="A161" s="491" t="s">
        <v>1025</v>
      </c>
      <c r="B161" s="491"/>
      <c r="C161" s="491"/>
      <c r="D161" s="491"/>
      <c r="E161" s="14">
        <f t="shared" ref="E161:J161" si="4">SUM(E147:E154)</f>
        <v>5963</v>
      </c>
      <c r="F161" s="14">
        <f t="shared" si="4"/>
        <v>12500</v>
      </c>
      <c r="G161" s="14">
        <f t="shared" si="4"/>
        <v>6000</v>
      </c>
      <c r="H161" s="14">
        <f t="shared" si="4"/>
        <v>6000</v>
      </c>
      <c r="I161" s="14">
        <f t="shared" si="4"/>
        <v>6000</v>
      </c>
      <c r="J161" s="14">
        <f t="shared" si="4"/>
        <v>0</v>
      </c>
      <c r="K161" s="433"/>
      <c r="II161" s="14"/>
    </row>
    <row r="162" spans="1:243" x14ac:dyDescent="0.2">
      <c r="E162" s="3">
        <f>SUM(E159:E161)</f>
        <v>517416</v>
      </c>
      <c r="F162" s="3">
        <f t="shared" ref="F162:J162" si="5">SUM(F159:F161)</f>
        <v>536593</v>
      </c>
      <c r="G162" s="3">
        <f t="shared" si="5"/>
        <v>532863</v>
      </c>
      <c r="H162" s="3">
        <f t="shared" ref="H162" si="6">SUM(H159:H161)</f>
        <v>532863</v>
      </c>
      <c r="I162" s="3">
        <f t="shared" si="5"/>
        <v>546053</v>
      </c>
      <c r="J162" s="3">
        <f t="shared" si="5"/>
        <v>0</v>
      </c>
      <c r="II162" s="3"/>
    </row>
    <row r="163" spans="1:243" x14ac:dyDescent="0.2">
      <c r="E163" s="3"/>
      <c r="F163" s="3"/>
      <c r="I163" s="3"/>
      <c r="J163" s="3"/>
      <c r="II163" s="3"/>
    </row>
    <row r="164" spans="1:243" x14ac:dyDescent="0.2">
      <c r="E164" s="3"/>
      <c r="F164" s="3"/>
      <c r="I164" s="3"/>
      <c r="J164" s="3">
        <v>13190</v>
      </c>
      <c r="II164" s="3"/>
    </row>
    <row r="165" spans="1:243" x14ac:dyDescent="0.2">
      <c r="E165" s="3"/>
      <c r="F165" s="3"/>
      <c r="I165" s="3">
        <f>I162-H162</f>
        <v>13190</v>
      </c>
      <c r="J165" s="3">
        <f>J162-H162</f>
        <v>-532863</v>
      </c>
      <c r="II165" s="3"/>
    </row>
    <row r="166" spans="1:243" x14ac:dyDescent="0.2">
      <c r="E166" s="3"/>
      <c r="F166" s="3"/>
      <c r="I166" s="3"/>
      <c r="J166" s="3">
        <f>J164-J165</f>
        <v>546053</v>
      </c>
      <c r="II166" s="3"/>
    </row>
    <row r="167" spans="1:243" x14ac:dyDescent="0.2">
      <c r="E167" s="3"/>
      <c r="F167" s="3"/>
      <c r="I167" s="3"/>
      <c r="J167" s="3"/>
      <c r="II167" s="3"/>
    </row>
    <row r="168" spans="1:243" x14ac:dyDescent="0.2">
      <c r="E168" s="3"/>
      <c r="F168" s="3"/>
      <c r="I168" s="3"/>
      <c r="J168" s="3"/>
      <c r="II168" s="3"/>
    </row>
    <row r="169" spans="1:243" x14ac:dyDescent="0.2">
      <c r="E169" s="3"/>
      <c r="F169" s="3"/>
      <c r="I169" s="3"/>
      <c r="J169" s="3"/>
      <c r="II169" s="3"/>
    </row>
    <row r="170" spans="1:243" x14ac:dyDescent="0.2">
      <c r="G170" s="348"/>
      <c r="H170" s="475"/>
      <c r="I170" s="413"/>
      <c r="II170" s="3"/>
    </row>
    <row r="171" spans="1:243" x14ac:dyDescent="0.2">
      <c r="G171" s="348"/>
      <c r="H171" s="475"/>
      <c r="I171" s="413"/>
      <c r="II171" s="3"/>
    </row>
    <row r="172" spans="1:243" x14ac:dyDescent="0.2">
      <c r="G172" s="348"/>
      <c r="H172" s="475"/>
      <c r="I172" s="413"/>
      <c r="II172" s="3"/>
    </row>
    <row r="173" spans="1:243" x14ac:dyDescent="0.2">
      <c r="G173" s="348"/>
      <c r="H173" s="475"/>
      <c r="I173" s="413"/>
      <c r="II173" s="3"/>
    </row>
    <row r="174" spans="1:243" x14ac:dyDescent="0.2">
      <c r="G174" s="348"/>
      <c r="H174" s="475"/>
      <c r="I174" s="413"/>
      <c r="II174" s="3"/>
    </row>
    <row r="175" spans="1:243" x14ac:dyDescent="0.2">
      <c r="G175" s="348"/>
      <c r="H175" s="348"/>
      <c r="I175" s="413"/>
      <c r="II175" s="3"/>
    </row>
    <row r="176" spans="1:243" x14ac:dyDescent="0.2">
      <c r="G176" s="348"/>
      <c r="H176" s="348"/>
      <c r="I176" s="413"/>
      <c r="II176" s="3"/>
    </row>
    <row r="177" spans="7:243" x14ac:dyDescent="0.2">
      <c r="G177" s="348"/>
      <c r="H177" s="348"/>
      <c r="I177" s="413"/>
      <c r="II177" s="3"/>
    </row>
    <row r="178" spans="7:243" x14ac:dyDescent="0.2">
      <c r="G178" s="348"/>
      <c r="H178" s="348"/>
      <c r="I178" s="413"/>
      <c r="II178" s="3"/>
    </row>
    <row r="179" spans="7:243" x14ac:dyDescent="0.2">
      <c r="G179" s="348"/>
      <c r="H179" s="348"/>
      <c r="I179" s="413"/>
      <c r="II179" s="3"/>
    </row>
    <row r="180" spans="7:243" x14ac:dyDescent="0.2">
      <c r="G180" s="348"/>
      <c r="H180" s="348"/>
      <c r="I180" s="413"/>
    </row>
    <row r="181" spans="7:243" x14ac:dyDescent="0.2">
      <c r="G181" s="348"/>
      <c r="H181" s="348"/>
      <c r="I181" s="413"/>
    </row>
    <row r="182" spans="7:243" x14ac:dyDescent="0.2">
      <c r="G182" s="348"/>
      <c r="H182" s="348"/>
      <c r="I182" s="413"/>
    </row>
    <row r="183" spans="7:243" x14ac:dyDescent="0.2">
      <c r="G183" s="348"/>
      <c r="H183" s="348"/>
      <c r="I183" s="413"/>
    </row>
    <row r="184" spans="7:243" x14ac:dyDescent="0.2">
      <c r="G184" s="348"/>
      <c r="I184" s="3"/>
    </row>
    <row r="185" spans="7:243" x14ac:dyDescent="0.2">
      <c r="G185" s="348"/>
      <c r="I185" s="3"/>
    </row>
    <row r="186" spans="7:243" x14ac:dyDescent="0.2">
      <c r="G186" s="348"/>
      <c r="I186" s="3"/>
    </row>
    <row r="187" spans="7:243" x14ac:dyDescent="0.2">
      <c r="G187" s="348"/>
      <c r="I187" s="3"/>
    </row>
    <row r="188" spans="7:243" x14ac:dyDescent="0.2">
      <c r="G188" s="348"/>
      <c r="I188" s="3"/>
    </row>
    <row r="189" spans="7:243" x14ac:dyDescent="0.2">
      <c r="G189" s="348"/>
      <c r="I189" s="3"/>
    </row>
    <row r="190" spans="7:243" x14ac:dyDescent="0.2">
      <c r="G190" s="348"/>
      <c r="I190" s="3"/>
    </row>
    <row r="191" spans="7:243" x14ac:dyDescent="0.2">
      <c r="G191" s="348"/>
      <c r="I191" s="3"/>
    </row>
    <row r="192" spans="7:243" x14ac:dyDescent="0.2">
      <c r="G192" s="348"/>
      <c r="I192" s="3"/>
    </row>
    <row r="193" spans="7:9" x14ac:dyDescent="0.2">
      <c r="G193" s="348"/>
      <c r="I193" s="3"/>
    </row>
    <row r="194" spans="7:9" x14ac:dyDescent="0.2">
      <c r="G194" s="348"/>
      <c r="I194" s="3"/>
    </row>
    <row r="195" spans="7:9" x14ac:dyDescent="0.2">
      <c r="G195" s="348"/>
      <c r="I195" s="3"/>
    </row>
    <row r="196" spans="7:9" x14ac:dyDescent="0.2">
      <c r="G196" s="348"/>
      <c r="I196" s="3"/>
    </row>
    <row r="197" spans="7:9" x14ac:dyDescent="0.2">
      <c r="G197" s="348"/>
      <c r="I197" s="3"/>
    </row>
    <row r="198" spans="7:9" x14ac:dyDescent="0.2">
      <c r="G198" s="348"/>
      <c r="I198" s="3"/>
    </row>
    <row r="199" spans="7:9" x14ac:dyDescent="0.2">
      <c r="G199" s="348"/>
      <c r="I199" s="3"/>
    </row>
    <row r="200" spans="7:9" x14ac:dyDescent="0.2">
      <c r="I200" s="3"/>
    </row>
    <row r="201" spans="7:9" x14ac:dyDescent="0.2">
      <c r="I201" s="3"/>
    </row>
    <row r="202" spans="7:9" x14ac:dyDescent="0.2">
      <c r="I202" s="3"/>
    </row>
    <row r="203" spans="7:9" x14ac:dyDescent="0.2">
      <c r="I203" s="3"/>
    </row>
    <row r="204" spans="7:9" x14ac:dyDescent="0.2">
      <c r="I204" s="3"/>
    </row>
  </sheetData>
  <mergeCells count="1">
    <mergeCell ref="A1:J1"/>
  </mergeCells>
  <phoneticPr fontId="0" type="noConversion"/>
  <printOptions gridLines="1"/>
  <pageMargins left="0.75" right="0.16" top="0.51" bottom="0.22" header="0.5" footer="0"/>
  <pageSetup scale="85" fitToHeight="4" orientation="landscape" r:id="rId1"/>
  <headerFooter alignWithMargins="0"/>
  <rowBreaks count="3" manualBreakCount="3">
    <brk id="68" max="9" man="1"/>
    <brk id="111" max="9" man="1"/>
    <brk id="146" max="9"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M250"/>
  <sheetViews>
    <sheetView view="pageBreakPreview" zoomScaleNormal="100" zoomScaleSheetLayoutView="100" workbookViewId="0">
      <pane ySplit="5" topLeftCell="A136" activePane="bottomLeft" state="frozen"/>
      <selection activeCell="D43" sqref="D43"/>
      <selection pane="bottomLeft" activeCell="J6" sqref="J6:J146"/>
    </sheetView>
  </sheetViews>
  <sheetFormatPr defaultColWidth="8.85546875" defaultRowHeight="12.75" x14ac:dyDescent="0.2"/>
  <cols>
    <col min="1" max="1" width="56.5703125" style="348" bestFit="1" customWidth="1"/>
    <col min="2" max="2" width="8.7109375" style="348" bestFit="1" customWidth="1"/>
    <col min="3" max="3" width="7.7109375" style="348" bestFit="1" customWidth="1"/>
    <col min="4" max="4" width="8.7109375" style="348" bestFit="1" customWidth="1"/>
    <col min="5" max="6" width="9" style="348" bestFit="1" customWidth="1"/>
    <col min="7" max="7" width="11.7109375" style="348" bestFit="1" customWidth="1"/>
    <col min="8" max="8" width="13.5703125" style="348" bestFit="1" customWidth="1"/>
    <col min="9" max="9" width="9.42578125" style="348" bestFit="1" customWidth="1"/>
    <col min="10" max="10" width="10.85546875" style="348" customWidth="1"/>
    <col min="11" max="16384" width="8.85546875" style="348"/>
  </cols>
  <sheetData>
    <row r="1" spans="1:13" x14ac:dyDescent="0.2">
      <c r="A1" s="562" t="str">
        <f>'SUMMARY BY FUND'!A1:J1</f>
        <v>2023-24 BUDGET</v>
      </c>
      <c r="B1" s="563"/>
      <c r="C1" s="563"/>
      <c r="D1" s="563"/>
      <c r="E1" s="563"/>
      <c r="F1" s="563"/>
      <c r="G1" s="563"/>
      <c r="H1" s="563"/>
      <c r="I1" s="563"/>
      <c r="J1" s="563"/>
    </row>
    <row r="2" spans="1:13" ht="18.75" x14ac:dyDescent="0.3">
      <c r="A2" s="202" t="s">
        <v>1884</v>
      </c>
      <c r="B2" s="202"/>
      <c r="C2" s="202"/>
      <c r="D2" s="202"/>
      <c r="E2" s="202"/>
      <c r="F2" s="202"/>
    </row>
    <row r="3" spans="1:13" x14ac:dyDescent="0.2">
      <c r="B3" s="3"/>
      <c r="C3" s="3"/>
      <c r="D3" s="3"/>
      <c r="E3" s="3"/>
      <c r="F3" s="3"/>
    </row>
    <row r="4" spans="1:13" x14ac:dyDescent="0.2">
      <c r="B4" s="3"/>
      <c r="C4" s="3"/>
      <c r="D4" s="3"/>
      <c r="E4" s="19" t="s">
        <v>250</v>
      </c>
      <c r="F4" s="19" t="s">
        <v>251</v>
      </c>
      <c r="G4" s="19" t="s">
        <v>68</v>
      </c>
      <c r="H4" s="19" t="s">
        <v>432</v>
      </c>
      <c r="I4" s="19" t="s">
        <v>338</v>
      </c>
      <c r="J4" s="19" t="s">
        <v>370</v>
      </c>
    </row>
    <row r="5" spans="1:13" ht="15" x14ac:dyDescent="0.35">
      <c r="B5" s="3"/>
      <c r="C5" s="3"/>
      <c r="D5" s="3"/>
      <c r="E5" s="419" t="s">
        <v>2163</v>
      </c>
      <c r="F5" s="419" t="s">
        <v>2290</v>
      </c>
      <c r="G5" s="419" t="s">
        <v>2507</v>
      </c>
      <c r="H5" s="419" t="s">
        <v>2507</v>
      </c>
      <c r="I5" s="419" t="s">
        <v>2507</v>
      </c>
      <c r="J5" s="419" t="s">
        <v>2507</v>
      </c>
    </row>
    <row r="6" spans="1:13" ht="13.5" x14ac:dyDescent="0.25">
      <c r="A6" s="469" t="s">
        <v>1120</v>
      </c>
      <c r="B6" s="3"/>
      <c r="C6" s="3"/>
      <c r="D6" s="3"/>
      <c r="E6" s="3">
        <v>84551</v>
      </c>
      <c r="F6" s="3">
        <v>85452</v>
      </c>
      <c r="G6" s="3">
        <v>85452</v>
      </c>
      <c r="H6" s="3">
        <v>85452</v>
      </c>
      <c r="I6" s="3">
        <v>88416</v>
      </c>
      <c r="J6" s="3"/>
    </row>
    <row r="7" spans="1:13" x14ac:dyDescent="0.2">
      <c r="A7" s="468" t="s">
        <v>1121</v>
      </c>
      <c r="B7" s="3">
        <v>52</v>
      </c>
      <c r="C7" s="3">
        <v>1673</v>
      </c>
      <c r="D7" s="3">
        <f>ROUND(B7*C7,0)</f>
        <v>86996</v>
      </c>
      <c r="E7" s="3"/>
      <c r="F7" s="3"/>
      <c r="G7" s="3"/>
      <c r="H7" s="3"/>
      <c r="I7" s="3"/>
      <c r="J7" s="3"/>
    </row>
    <row r="8" spans="1:13" ht="15" x14ac:dyDescent="0.35">
      <c r="A8" s="468" t="s">
        <v>1039</v>
      </c>
      <c r="B8" s="3" t="s">
        <v>418</v>
      </c>
      <c r="C8" s="3" t="s">
        <v>418</v>
      </c>
      <c r="D8" s="14">
        <v>1420</v>
      </c>
      <c r="E8" s="3"/>
      <c r="F8" s="3"/>
      <c r="G8" s="3"/>
      <c r="H8" s="3"/>
      <c r="I8" s="3"/>
      <c r="J8" s="3"/>
    </row>
    <row r="9" spans="1:13" x14ac:dyDescent="0.2">
      <c r="A9" s="468" t="s">
        <v>1320</v>
      </c>
      <c r="B9" s="3"/>
      <c r="C9" s="3"/>
      <c r="D9" s="3">
        <f>SUM(D7:D8)</f>
        <v>88416</v>
      </c>
      <c r="E9" s="3"/>
      <c r="F9" s="3"/>
      <c r="G9" s="3"/>
      <c r="H9" s="3"/>
      <c r="I9" s="3"/>
      <c r="J9" s="3"/>
    </row>
    <row r="10" spans="1:13" x14ac:dyDescent="0.2">
      <c r="A10" s="468"/>
      <c r="B10" s="3"/>
      <c r="C10" s="3"/>
      <c r="D10" s="3"/>
      <c r="E10" s="3"/>
      <c r="F10" s="3"/>
      <c r="G10" s="3"/>
      <c r="H10" s="3"/>
      <c r="I10" s="3"/>
      <c r="J10" s="3"/>
    </row>
    <row r="11" spans="1:13" ht="13.5" x14ac:dyDescent="0.25">
      <c r="A11" s="469" t="s">
        <v>860</v>
      </c>
      <c r="B11" s="3"/>
      <c r="C11" s="3"/>
      <c r="D11" s="3"/>
      <c r="E11" s="3">
        <v>146829</v>
      </c>
      <c r="F11" s="3">
        <v>187720</v>
      </c>
      <c r="G11" s="3">
        <v>146745</v>
      </c>
      <c r="H11" s="3">
        <v>157561</v>
      </c>
      <c r="I11" s="3">
        <v>163155</v>
      </c>
      <c r="J11" s="3"/>
      <c r="K11" s="3">
        <f>+H11-G11</f>
        <v>10816</v>
      </c>
    </row>
    <row r="12" spans="1:13" ht="15" x14ac:dyDescent="0.25">
      <c r="A12" s="468" t="s">
        <v>2138</v>
      </c>
      <c r="B12" s="3">
        <v>52</v>
      </c>
      <c r="C12" s="3">
        <v>812.36</v>
      </c>
      <c r="D12" s="3">
        <f>ROUND(B12*C12,0)</f>
        <v>42243</v>
      </c>
      <c r="E12" s="3"/>
      <c r="F12" s="3"/>
      <c r="G12" s="3"/>
      <c r="H12" s="3"/>
      <c r="I12" s="3"/>
      <c r="J12" s="3"/>
      <c r="K12" s="3">
        <f t="shared" ref="K12:K75" si="0">+H12-G12</f>
        <v>0</v>
      </c>
      <c r="L12" s="172"/>
      <c r="M12" s="172"/>
    </row>
    <row r="13" spans="1:13" ht="15" x14ac:dyDescent="0.25">
      <c r="A13" s="468" t="s">
        <v>1170</v>
      </c>
      <c r="B13" s="3">
        <v>52</v>
      </c>
      <c r="C13" s="3">
        <v>0</v>
      </c>
      <c r="D13" s="3">
        <f>ROUND(B13*C13,0)</f>
        <v>0</v>
      </c>
      <c r="E13" s="3"/>
      <c r="F13" s="3"/>
      <c r="G13" s="3"/>
      <c r="H13" s="3"/>
      <c r="I13" s="3"/>
      <c r="J13" s="3"/>
      <c r="K13" s="3">
        <f t="shared" si="0"/>
        <v>0</v>
      </c>
      <c r="L13" s="172"/>
      <c r="M13" s="172"/>
    </row>
    <row r="14" spans="1:13" ht="15" x14ac:dyDescent="0.25">
      <c r="A14" s="381" t="s">
        <v>1170</v>
      </c>
      <c r="B14" s="3">
        <v>52</v>
      </c>
      <c r="C14" s="3">
        <v>775.45</v>
      </c>
      <c r="D14" s="3">
        <f>ROUND(B14*C14,0)</f>
        <v>40323</v>
      </c>
      <c r="E14" s="3"/>
      <c r="F14" s="3"/>
      <c r="G14" s="3"/>
      <c r="H14" s="3"/>
      <c r="I14" s="3"/>
      <c r="J14" s="3"/>
      <c r="K14" s="3">
        <f t="shared" si="0"/>
        <v>0</v>
      </c>
      <c r="L14" s="172"/>
      <c r="M14" s="172"/>
    </row>
    <row r="15" spans="1:13" x14ac:dyDescent="0.2">
      <c r="A15" s="468" t="s">
        <v>1170</v>
      </c>
      <c r="B15" s="3">
        <v>52</v>
      </c>
      <c r="C15" s="3">
        <v>812.35</v>
      </c>
      <c r="D15" s="3">
        <f>ROUND(B15*C15,0)</f>
        <v>42242</v>
      </c>
      <c r="E15" s="3"/>
      <c r="F15" s="3"/>
      <c r="G15" s="3"/>
      <c r="H15" s="3"/>
      <c r="I15" s="3"/>
      <c r="J15" s="3"/>
      <c r="K15" s="3">
        <f t="shared" si="0"/>
        <v>0</v>
      </c>
    </row>
    <row r="16" spans="1:13" x14ac:dyDescent="0.2">
      <c r="A16" s="468" t="s">
        <v>1170</v>
      </c>
      <c r="B16" s="3">
        <v>52</v>
      </c>
      <c r="C16" s="3">
        <v>737.45</v>
      </c>
      <c r="D16" s="3">
        <f>ROUND(B16*C16,0)</f>
        <v>38347</v>
      </c>
      <c r="E16" s="3"/>
      <c r="F16" s="3"/>
      <c r="G16" s="3"/>
      <c r="H16" s="3"/>
      <c r="I16" s="3"/>
      <c r="J16" s="3"/>
      <c r="K16" s="3">
        <f t="shared" si="0"/>
        <v>0</v>
      </c>
    </row>
    <row r="17" spans="1:11" ht="15" x14ac:dyDescent="0.35">
      <c r="A17" s="468" t="s">
        <v>1039</v>
      </c>
      <c r="B17" s="3" t="s">
        <v>418</v>
      </c>
      <c r="C17" s="3" t="s">
        <v>418</v>
      </c>
      <c r="D17" s="14">
        <v>0</v>
      </c>
      <c r="E17" s="3"/>
      <c r="F17" s="3"/>
      <c r="G17" s="3"/>
      <c r="H17" s="3"/>
      <c r="I17" s="3"/>
      <c r="J17" s="3"/>
      <c r="K17" s="3">
        <f t="shared" si="0"/>
        <v>0</v>
      </c>
    </row>
    <row r="18" spans="1:11" x14ac:dyDescent="0.2">
      <c r="A18" s="468" t="s">
        <v>1320</v>
      </c>
      <c r="B18" s="3"/>
      <c r="C18" s="3"/>
      <c r="D18" s="3">
        <f>SUM(D12:D17)</f>
        <v>163155</v>
      </c>
      <c r="E18" s="3"/>
      <c r="F18" s="3"/>
      <c r="G18" s="3"/>
      <c r="H18" s="3"/>
      <c r="I18" s="3"/>
      <c r="J18" s="3"/>
      <c r="K18" s="3">
        <f t="shared" si="0"/>
        <v>0</v>
      </c>
    </row>
    <row r="19" spans="1:11" x14ac:dyDescent="0.2">
      <c r="A19" s="468"/>
      <c r="B19" s="3"/>
      <c r="C19" s="3"/>
      <c r="D19" s="3"/>
      <c r="E19" s="3"/>
      <c r="F19" s="3"/>
      <c r="G19" s="3"/>
      <c r="H19" s="3"/>
      <c r="I19" s="3"/>
      <c r="J19" s="3"/>
      <c r="K19" s="3">
        <f t="shared" si="0"/>
        <v>0</v>
      </c>
    </row>
    <row r="20" spans="1:11" ht="13.5" x14ac:dyDescent="0.25">
      <c r="A20" s="469" t="s">
        <v>585</v>
      </c>
      <c r="B20" s="3"/>
      <c r="C20" s="3"/>
      <c r="D20" s="3"/>
      <c r="E20" s="3">
        <v>65769</v>
      </c>
      <c r="F20" s="3">
        <v>66326</v>
      </c>
      <c r="G20" s="3">
        <v>66326</v>
      </c>
      <c r="H20" s="3">
        <v>66326</v>
      </c>
      <c r="I20" s="3">
        <v>68614</v>
      </c>
      <c r="J20" s="3"/>
      <c r="K20" s="3">
        <f t="shared" si="0"/>
        <v>0</v>
      </c>
    </row>
    <row r="21" spans="1:11" x14ac:dyDescent="0.2">
      <c r="A21" s="468" t="s">
        <v>244</v>
      </c>
      <c r="B21" s="3">
        <v>52</v>
      </c>
      <c r="C21" s="3">
        <v>1296</v>
      </c>
      <c r="D21" s="3">
        <f>ROUND(B21*C21,0)</f>
        <v>67392</v>
      </c>
      <c r="E21" s="3"/>
      <c r="F21" s="3"/>
      <c r="G21" s="3"/>
      <c r="H21" s="3"/>
      <c r="I21" s="3"/>
      <c r="J21" s="3"/>
      <c r="K21" s="3">
        <f t="shared" si="0"/>
        <v>0</v>
      </c>
    </row>
    <row r="22" spans="1:11" ht="15" x14ac:dyDescent="0.35">
      <c r="A22" s="468" t="s">
        <v>1039</v>
      </c>
      <c r="B22" s="3"/>
      <c r="C22" s="3"/>
      <c r="D22" s="14">
        <v>1222</v>
      </c>
      <c r="E22" s="3"/>
      <c r="F22" s="3"/>
      <c r="G22" s="3"/>
      <c r="H22" s="3"/>
      <c r="I22" s="3"/>
      <c r="J22" s="3"/>
      <c r="K22" s="3">
        <f t="shared" si="0"/>
        <v>0</v>
      </c>
    </row>
    <row r="23" spans="1:11" x14ac:dyDescent="0.2">
      <c r="A23" s="468" t="s">
        <v>1320</v>
      </c>
      <c r="B23" s="3"/>
      <c r="C23" s="3"/>
      <c r="D23" s="3">
        <f>SUM(D21:D22)</f>
        <v>68614</v>
      </c>
      <c r="E23" s="3"/>
      <c r="F23" s="3"/>
      <c r="G23" s="3"/>
      <c r="H23" s="3"/>
      <c r="I23" s="3"/>
      <c r="J23" s="3"/>
      <c r="K23" s="3">
        <f t="shared" si="0"/>
        <v>0</v>
      </c>
    </row>
    <row r="24" spans="1:11" x14ac:dyDescent="0.2">
      <c r="A24" s="468"/>
      <c r="B24" s="468"/>
      <c r="C24" s="468"/>
      <c r="D24" s="3"/>
      <c r="E24" s="3"/>
      <c r="F24" s="3"/>
      <c r="G24" s="3"/>
      <c r="H24" s="3"/>
      <c r="I24" s="3"/>
      <c r="J24" s="3"/>
      <c r="K24" s="3">
        <f t="shared" si="0"/>
        <v>0</v>
      </c>
    </row>
    <row r="25" spans="1:11" ht="13.5" x14ac:dyDescent="0.25">
      <c r="A25" s="469" t="s">
        <v>1087</v>
      </c>
      <c r="B25" s="468"/>
      <c r="C25" s="468"/>
      <c r="D25" s="3"/>
      <c r="E25" s="3">
        <v>8772</v>
      </c>
      <c r="F25" s="3">
        <v>2802</v>
      </c>
      <c r="G25" s="3">
        <v>2172</v>
      </c>
      <c r="H25" s="3">
        <v>2172</v>
      </c>
      <c r="I25" s="3">
        <v>2248</v>
      </c>
      <c r="J25" s="3"/>
      <c r="K25" s="3">
        <f t="shared" si="0"/>
        <v>0</v>
      </c>
    </row>
    <row r="26" spans="1:11" x14ac:dyDescent="0.2">
      <c r="A26" s="468" t="s">
        <v>1170</v>
      </c>
      <c r="B26" s="3">
        <v>0</v>
      </c>
      <c r="C26" s="15">
        <v>17.16</v>
      </c>
      <c r="D26" s="3">
        <f>ROUND(B26*C26,0)</f>
        <v>0</v>
      </c>
      <c r="E26" s="3"/>
      <c r="F26" s="3"/>
      <c r="G26" s="3"/>
      <c r="H26" s="3"/>
      <c r="I26" s="3"/>
      <c r="J26" s="3"/>
      <c r="K26" s="3">
        <f t="shared" si="0"/>
        <v>0</v>
      </c>
    </row>
    <row r="27" spans="1:11" x14ac:dyDescent="0.2">
      <c r="A27" s="468" t="s">
        <v>1170</v>
      </c>
      <c r="B27" s="3">
        <v>0</v>
      </c>
      <c r="C27" s="15">
        <v>14.75</v>
      </c>
      <c r="D27" s="3">
        <f>+B27*C27</f>
        <v>0</v>
      </c>
      <c r="E27" s="3"/>
      <c r="F27" s="3"/>
      <c r="G27" s="3"/>
      <c r="H27" s="3"/>
      <c r="I27" s="3"/>
      <c r="J27" s="3"/>
      <c r="K27" s="3">
        <f t="shared" si="0"/>
        <v>0</v>
      </c>
    </row>
    <row r="28" spans="1:11" x14ac:dyDescent="0.2">
      <c r="A28" s="468" t="s">
        <v>1503</v>
      </c>
      <c r="B28" s="3">
        <v>0</v>
      </c>
      <c r="C28" s="15">
        <v>15.75</v>
      </c>
      <c r="D28" s="3">
        <f>ROUND(B28*C28,0)</f>
        <v>0</v>
      </c>
      <c r="E28" s="3"/>
      <c r="F28" s="3"/>
      <c r="G28" s="3"/>
      <c r="H28" s="3"/>
      <c r="I28" s="3"/>
      <c r="J28" s="3"/>
      <c r="K28" s="3">
        <f t="shared" si="0"/>
        <v>0</v>
      </c>
    </row>
    <row r="29" spans="1:11" x14ac:dyDescent="0.2">
      <c r="A29" s="468" t="s">
        <v>1595</v>
      </c>
      <c r="B29" s="3">
        <v>200</v>
      </c>
      <c r="C29" s="15">
        <v>11.24</v>
      </c>
      <c r="D29" s="21">
        <f>ROUND(B29*C29,0)</f>
        <v>2248</v>
      </c>
      <c r="E29" s="3"/>
      <c r="F29" s="3"/>
      <c r="G29" s="3"/>
      <c r="H29" s="3"/>
      <c r="I29" s="3"/>
      <c r="J29" s="3"/>
      <c r="K29" s="3">
        <f t="shared" si="0"/>
        <v>0</v>
      </c>
    </row>
    <row r="30" spans="1:11" x14ac:dyDescent="0.2">
      <c r="A30" s="468"/>
      <c r="B30" s="468"/>
      <c r="C30" s="468"/>
      <c r="D30" s="3">
        <f>SUM(D26:D29)</f>
        <v>2248</v>
      </c>
      <c r="E30" s="3"/>
      <c r="F30" s="3"/>
      <c r="G30" s="3"/>
      <c r="H30" s="3"/>
      <c r="I30" s="3"/>
      <c r="J30" s="3"/>
      <c r="K30" s="3">
        <f t="shared" si="0"/>
        <v>0</v>
      </c>
    </row>
    <row r="31" spans="1:11" x14ac:dyDescent="0.2">
      <c r="A31" s="468"/>
      <c r="B31" s="468"/>
      <c r="C31" s="468"/>
      <c r="D31" s="3"/>
      <c r="E31" s="3"/>
      <c r="F31" s="3"/>
      <c r="G31" s="3"/>
      <c r="H31" s="3"/>
      <c r="I31" s="3"/>
      <c r="J31" s="3"/>
      <c r="K31" s="3">
        <f t="shared" si="0"/>
        <v>0</v>
      </c>
    </row>
    <row r="32" spans="1:11" ht="13.5" x14ac:dyDescent="0.25">
      <c r="A32" s="469" t="s">
        <v>1088</v>
      </c>
      <c r="B32" s="468"/>
      <c r="C32" s="468"/>
      <c r="D32" s="3"/>
      <c r="E32" s="3">
        <v>842</v>
      </c>
      <c r="F32" s="3">
        <v>1440</v>
      </c>
      <c r="G32" s="3">
        <v>1081</v>
      </c>
      <c r="H32" s="3">
        <v>1159</v>
      </c>
      <c r="I32" s="3">
        <v>1200</v>
      </c>
      <c r="J32" s="3"/>
      <c r="K32" s="3">
        <f t="shared" si="0"/>
        <v>78</v>
      </c>
    </row>
    <row r="33" spans="1:11" x14ac:dyDescent="0.2">
      <c r="A33" s="468" t="s">
        <v>1162</v>
      </c>
      <c r="B33" s="3">
        <v>40</v>
      </c>
      <c r="C33" s="15">
        <f>SUM(C12:C15)/40/3*1.5</f>
        <v>30.001999999999995</v>
      </c>
      <c r="D33" s="3">
        <f>ROUND(C33*B33,0)</f>
        <v>1200</v>
      </c>
      <c r="E33" s="3"/>
      <c r="F33" s="3"/>
      <c r="G33" s="3"/>
      <c r="H33" s="3"/>
      <c r="I33" s="3"/>
      <c r="J33" s="3"/>
      <c r="K33" s="3">
        <f t="shared" si="0"/>
        <v>0</v>
      </c>
    </row>
    <row r="34" spans="1:11" x14ac:dyDescent="0.2">
      <c r="A34" s="468"/>
      <c r="B34" s="3"/>
      <c r="C34" s="15"/>
      <c r="D34" s="3"/>
      <c r="E34" s="3"/>
      <c r="F34" s="3"/>
      <c r="G34" s="3"/>
      <c r="H34" s="3"/>
      <c r="I34" s="3"/>
      <c r="J34" s="3"/>
      <c r="K34" s="3">
        <f t="shared" si="0"/>
        <v>0</v>
      </c>
    </row>
    <row r="35" spans="1:11" ht="13.5" x14ac:dyDescent="0.25">
      <c r="A35" s="469" t="s">
        <v>441</v>
      </c>
      <c r="B35" s="468"/>
      <c r="C35" s="468"/>
      <c r="D35" s="3"/>
      <c r="E35" s="3">
        <v>18001</v>
      </c>
      <c r="F35" s="3">
        <v>20998</v>
      </c>
      <c r="G35" s="3">
        <v>17788</v>
      </c>
      <c r="H35" s="3">
        <v>18621</v>
      </c>
      <c r="I35" s="3">
        <v>19276</v>
      </c>
      <c r="J35" s="3"/>
      <c r="K35" s="3">
        <f t="shared" si="0"/>
        <v>833</v>
      </c>
    </row>
    <row r="36" spans="1:11" ht="12.75" customHeight="1" x14ac:dyDescent="0.2">
      <c r="A36" s="16" t="s">
        <v>2000</v>
      </c>
      <c r="B36" s="3">
        <f>+D9</f>
        <v>88416</v>
      </c>
      <c r="C36" s="17">
        <v>1.4500000000000001E-2</v>
      </c>
      <c r="D36" s="3">
        <f>ROUND(B36*C36,0)</f>
        <v>1282</v>
      </c>
      <c r="E36" s="3"/>
      <c r="F36" s="3"/>
      <c r="G36" s="3"/>
      <c r="H36" s="3"/>
      <c r="I36" s="3"/>
      <c r="J36" s="3"/>
      <c r="K36" s="3">
        <f t="shared" si="0"/>
        <v>0</v>
      </c>
    </row>
    <row r="37" spans="1:11" ht="12.75" customHeight="1" x14ac:dyDescent="0.2">
      <c r="A37" s="16" t="s">
        <v>965</v>
      </c>
      <c r="B37" s="3">
        <f>+D18</f>
        <v>163155</v>
      </c>
      <c r="C37" s="17">
        <v>7.6499999999999999E-2</v>
      </c>
      <c r="D37" s="3">
        <f>ROUND(B37*C37,0)</f>
        <v>12481</v>
      </c>
      <c r="E37" s="3"/>
      <c r="F37" s="3"/>
      <c r="G37" s="3"/>
      <c r="H37" s="3"/>
      <c r="I37" s="3"/>
      <c r="J37" s="3"/>
      <c r="K37" s="3">
        <f t="shared" si="0"/>
        <v>0</v>
      </c>
    </row>
    <row r="38" spans="1:11" ht="12.75" customHeight="1" x14ac:dyDescent="0.2">
      <c r="A38" s="16" t="s">
        <v>1536</v>
      </c>
      <c r="B38" s="3">
        <f>+D23</f>
        <v>68614</v>
      </c>
      <c r="C38" s="17">
        <v>7.6499999999999999E-2</v>
      </c>
      <c r="D38" s="3">
        <f>ROUND(B38*C38,0)</f>
        <v>5249</v>
      </c>
      <c r="E38" s="3"/>
      <c r="F38" s="3"/>
      <c r="G38" s="3"/>
      <c r="H38" s="3"/>
      <c r="I38" s="3"/>
      <c r="J38" s="3"/>
      <c r="K38" s="3">
        <f t="shared" si="0"/>
        <v>0</v>
      </c>
    </row>
    <row r="39" spans="1:11" ht="12.75" customHeight="1" x14ac:dyDescent="0.2">
      <c r="A39" s="16" t="s">
        <v>196</v>
      </c>
      <c r="B39" s="3">
        <f>+D30</f>
        <v>2248</v>
      </c>
      <c r="C39" s="17">
        <v>7.6499999999999999E-2</v>
      </c>
      <c r="D39" s="3">
        <f>ROUND(B39*C39,0)</f>
        <v>172</v>
      </c>
      <c r="E39" s="3"/>
      <c r="F39" s="3"/>
      <c r="G39" s="3"/>
      <c r="H39" s="3"/>
      <c r="I39" s="3"/>
      <c r="J39" s="3"/>
      <c r="K39" s="3">
        <f t="shared" si="0"/>
        <v>0</v>
      </c>
    </row>
    <row r="40" spans="1:11" ht="15" customHeight="1" x14ac:dyDescent="0.35">
      <c r="A40" s="16" t="s">
        <v>197</v>
      </c>
      <c r="B40" s="3">
        <f>+D33</f>
        <v>1200</v>
      </c>
      <c r="C40" s="17">
        <v>7.6499999999999999E-2</v>
      </c>
      <c r="D40" s="14">
        <f>ROUND(B40*C40,0)</f>
        <v>92</v>
      </c>
      <c r="E40" s="3"/>
      <c r="F40" s="3"/>
      <c r="G40" s="3"/>
      <c r="H40" s="3"/>
      <c r="I40" s="3"/>
      <c r="J40" s="3"/>
      <c r="K40" s="3">
        <f t="shared" si="0"/>
        <v>0</v>
      </c>
    </row>
    <row r="41" spans="1:11" ht="12.75" customHeight="1" x14ac:dyDescent="0.2">
      <c r="A41" s="468" t="s">
        <v>1320</v>
      </c>
      <c r="B41" s="3" t="s">
        <v>418</v>
      </c>
      <c r="C41" s="468"/>
      <c r="D41" s="3">
        <f>SUM(D36:D40)</f>
        <v>19276</v>
      </c>
      <c r="E41" s="3"/>
      <c r="F41" s="3"/>
      <c r="G41" s="3"/>
      <c r="H41" s="3"/>
      <c r="I41" s="3"/>
      <c r="J41" s="3"/>
      <c r="K41" s="3">
        <f t="shared" si="0"/>
        <v>0</v>
      </c>
    </row>
    <row r="42" spans="1:11" x14ac:dyDescent="0.2">
      <c r="A42" s="468"/>
      <c r="B42" s="468"/>
      <c r="C42" s="468"/>
      <c r="D42" s="3"/>
      <c r="E42" s="3"/>
      <c r="F42" s="3"/>
      <c r="G42" s="3"/>
      <c r="H42" s="3"/>
      <c r="I42" s="3"/>
      <c r="J42" s="3"/>
      <c r="K42" s="3">
        <f t="shared" si="0"/>
        <v>0</v>
      </c>
    </row>
    <row r="43" spans="1:11" ht="13.5" x14ac:dyDescent="0.25">
      <c r="A43" s="18" t="s">
        <v>1513</v>
      </c>
      <c r="B43" s="468"/>
      <c r="C43" s="468"/>
      <c r="D43" s="3"/>
      <c r="E43" s="3">
        <v>41912</v>
      </c>
      <c r="F43" s="3">
        <v>47935</v>
      </c>
      <c r="G43" s="3">
        <v>40537</v>
      </c>
      <c r="H43" s="3">
        <v>42011</v>
      </c>
      <c r="I43" s="3">
        <v>43483</v>
      </c>
      <c r="J43" s="3"/>
      <c r="K43" s="3">
        <f t="shared" si="0"/>
        <v>1474</v>
      </c>
    </row>
    <row r="44" spans="1:11" x14ac:dyDescent="0.2">
      <c r="A44" s="16" t="s">
        <v>194</v>
      </c>
      <c r="B44" s="3">
        <f>+D9</f>
        <v>88416</v>
      </c>
      <c r="C44" s="507">
        <v>0.1353</v>
      </c>
      <c r="D44" s="3">
        <f>ROUND(B44*C44,0)</f>
        <v>11963</v>
      </c>
      <c r="E44" s="3"/>
      <c r="F44" s="3"/>
      <c r="G44" s="3"/>
      <c r="H44" s="3"/>
      <c r="I44" s="3"/>
      <c r="J44" s="3"/>
      <c r="K44" s="3">
        <f t="shared" si="0"/>
        <v>0</v>
      </c>
    </row>
    <row r="45" spans="1:11" x14ac:dyDescent="0.2">
      <c r="A45" s="16" t="s">
        <v>965</v>
      </c>
      <c r="B45" s="3">
        <f>+B37</f>
        <v>163155</v>
      </c>
      <c r="C45" s="507">
        <v>0.1353</v>
      </c>
      <c r="D45" s="3">
        <f>ROUND(B45*C45,0)</f>
        <v>22075</v>
      </c>
      <c r="E45" s="3"/>
      <c r="F45" s="3"/>
      <c r="G45" s="3"/>
      <c r="H45" s="3"/>
      <c r="I45" s="3"/>
      <c r="J45" s="3"/>
      <c r="K45" s="3">
        <f t="shared" si="0"/>
        <v>0</v>
      </c>
    </row>
    <row r="46" spans="1:11" x14ac:dyDescent="0.2">
      <c r="A46" s="27">
        <v>8103</v>
      </c>
      <c r="B46" s="3">
        <f>+B38</f>
        <v>68614</v>
      </c>
      <c r="C46" s="507">
        <v>0.1353</v>
      </c>
      <c r="D46" s="3">
        <f>ROUND(B46*C46,0)</f>
        <v>9283</v>
      </c>
      <c r="E46" s="3"/>
      <c r="F46" s="3"/>
      <c r="G46" s="3"/>
      <c r="H46" s="3"/>
      <c r="I46" s="3"/>
      <c r="J46" s="3"/>
      <c r="K46" s="3">
        <f t="shared" si="0"/>
        <v>0</v>
      </c>
    </row>
    <row r="47" spans="1:11" ht="15" x14ac:dyDescent="0.35">
      <c r="A47" s="16" t="s">
        <v>197</v>
      </c>
      <c r="B47" s="3">
        <f>+B40</f>
        <v>1200</v>
      </c>
      <c r="C47" s="507">
        <v>0.1353</v>
      </c>
      <c r="D47" s="14">
        <f>ROUND(B47*C47,0)</f>
        <v>162</v>
      </c>
      <c r="E47" s="3"/>
      <c r="F47" s="3"/>
      <c r="G47" s="3"/>
      <c r="H47" s="3"/>
      <c r="I47" s="3"/>
      <c r="J47" s="3"/>
      <c r="K47" s="3">
        <f t="shared" si="0"/>
        <v>0</v>
      </c>
    </row>
    <row r="48" spans="1:11" x14ac:dyDescent="0.2">
      <c r="A48" s="491" t="s">
        <v>1320</v>
      </c>
      <c r="B48" s="3"/>
      <c r="C48" s="491"/>
      <c r="D48" s="3">
        <f>SUM(D44:D47)</f>
        <v>43483</v>
      </c>
      <c r="E48" s="3"/>
      <c r="F48" s="3"/>
      <c r="G48" s="3"/>
      <c r="H48" s="3"/>
      <c r="I48" s="3"/>
      <c r="J48" s="3"/>
      <c r="K48" s="3">
        <f t="shared" si="0"/>
        <v>0</v>
      </c>
    </row>
    <row r="49" spans="1:11" x14ac:dyDescent="0.2">
      <c r="A49" s="491"/>
      <c r="B49" s="491"/>
      <c r="C49" s="491"/>
      <c r="D49" s="3"/>
      <c r="E49" s="3"/>
      <c r="F49" s="3"/>
      <c r="G49" s="3"/>
      <c r="H49" s="3"/>
      <c r="I49" s="3"/>
      <c r="J49" s="3"/>
      <c r="K49" s="3">
        <f t="shared" si="0"/>
        <v>0</v>
      </c>
    </row>
    <row r="50" spans="1:11" ht="13.5" x14ac:dyDescent="0.25">
      <c r="A50" s="494" t="s">
        <v>1514</v>
      </c>
      <c r="B50" s="491"/>
      <c r="C50" s="491"/>
      <c r="D50" s="3"/>
      <c r="E50" s="3">
        <v>113455</v>
      </c>
      <c r="F50" s="3">
        <v>133000</v>
      </c>
      <c r="G50" s="3">
        <v>121500</v>
      </c>
      <c r="H50" s="3">
        <v>121500</v>
      </c>
      <c r="I50" s="3">
        <v>121500</v>
      </c>
      <c r="J50" s="3"/>
      <c r="K50" s="3">
        <f t="shared" si="0"/>
        <v>0</v>
      </c>
    </row>
    <row r="51" spans="1:11" x14ac:dyDescent="0.2">
      <c r="A51" s="491" t="s">
        <v>440</v>
      </c>
      <c r="B51" s="3">
        <v>6</v>
      </c>
      <c r="C51" s="3">
        <v>20250</v>
      </c>
      <c r="D51" s="3">
        <f>ROUND(B51*C51,0)</f>
        <v>121500</v>
      </c>
      <c r="E51" s="3"/>
      <c r="F51" s="3"/>
      <c r="G51" s="3"/>
      <c r="H51" s="3"/>
      <c r="I51" s="3"/>
      <c r="J51" s="3"/>
      <c r="K51" s="3">
        <f t="shared" si="0"/>
        <v>0</v>
      </c>
    </row>
    <row r="52" spans="1:11" x14ac:dyDescent="0.2">
      <c r="A52" s="491"/>
      <c r="B52" s="491"/>
      <c r="C52" s="491"/>
      <c r="D52" s="3"/>
      <c r="E52" s="3"/>
      <c r="F52" s="3"/>
      <c r="G52" s="3"/>
      <c r="H52" s="3"/>
      <c r="I52" s="3"/>
      <c r="J52" s="3"/>
      <c r="K52" s="3">
        <f t="shared" si="0"/>
        <v>0</v>
      </c>
    </row>
    <row r="53" spans="1:11" ht="13.5" x14ac:dyDescent="0.25">
      <c r="A53" s="494" t="s">
        <v>1515</v>
      </c>
      <c r="B53" s="491"/>
      <c r="C53" s="491"/>
      <c r="D53" s="3"/>
      <c r="E53" s="3">
        <v>7471</v>
      </c>
      <c r="F53" s="3">
        <v>8663</v>
      </c>
      <c r="G53" s="3">
        <v>7425</v>
      </c>
      <c r="H53" s="3">
        <v>7425</v>
      </c>
      <c r="I53" s="3">
        <v>7425</v>
      </c>
      <c r="J53" s="3"/>
      <c r="K53" s="3">
        <f t="shared" si="0"/>
        <v>0</v>
      </c>
    </row>
    <row r="54" spans="1:11" x14ac:dyDescent="0.2">
      <c r="A54" s="491" t="s">
        <v>440</v>
      </c>
      <c r="B54" s="3">
        <v>6</v>
      </c>
      <c r="C54" s="3">
        <v>1375</v>
      </c>
      <c r="D54" s="3">
        <f>ROUND(B54*C54,0)</f>
        <v>8250</v>
      </c>
      <c r="E54" s="3"/>
      <c r="F54" s="3"/>
      <c r="G54" s="3"/>
      <c r="H54" s="3"/>
      <c r="I54" s="3"/>
      <c r="J54" s="3"/>
      <c r="K54" s="3">
        <f t="shared" si="0"/>
        <v>0</v>
      </c>
    </row>
    <row r="55" spans="1:11" ht="15" x14ac:dyDescent="0.35">
      <c r="A55" s="491" t="s">
        <v>243</v>
      </c>
      <c r="B55" s="3"/>
      <c r="C55" s="3"/>
      <c r="D55" s="14">
        <f>+C54*-0.1*B54</f>
        <v>-825</v>
      </c>
      <c r="E55" s="3"/>
      <c r="F55" s="3"/>
      <c r="G55" s="3"/>
      <c r="H55" s="3"/>
      <c r="I55" s="3"/>
      <c r="J55" s="3"/>
      <c r="K55" s="3">
        <f t="shared" si="0"/>
        <v>0</v>
      </c>
    </row>
    <row r="56" spans="1:11" x14ac:dyDescent="0.2">
      <c r="A56" s="491" t="s">
        <v>877</v>
      </c>
      <c r="B56" s="3"/>
      <c r="C56" s="3"/>
      <c r="D56" s="3">
        <f>SUM(D54:D55)</f>
        <v>7425</v>
      </c>
      <c r="E56" s="3"/>
      <c r="F56" s="3"/>
      <c r="G56" s="3"/>
      <c r="H56" s="3"/>
      <c r="I56" s="3"/>
      <c r="J56" s="3"/>
      <c r="K56" s="3">
        <f t="shared" si="0"/>
        <v>0</v>
      </c>
    </row>
    <row r="57" spans="1:11" x14ac:dyDescent="0.2">
      <c r="A57" s="491"/>
      <c r="B57" s="3"/>
      <c r="C57" s="3"/>
      <c r="D57" s="3"/>
      <c r="E57" s="3"/>
      <c r="F57" s="3"/>
      <c r="G57" s="3"/>
      <c r="H57" s="3"/>
      <c r="I57" s="3"/>
      <c r="J57" s="3"/>
      <c r="K57" s="3">
        <f t="shared" si="0"/>
        <v>0</v>
      </c>
    </row>
    <row r="58" spans="1:11" ht="13.5" x14ac:dyDescent="0.25">
      <c r="A58" s="494" t="s">
        <v>1154</v>
      </c>
      <c r="B58" s="491"/>
      <c r="C58" s="491"/>
      <c r="D58" s="3"/>
      <c r="E58" s="3">
        <v>666</v>
      </c>
      <c r="F58" s="3">
        <v>945</v>
      </c>
      <c r="G58" s="3">
        <v>870</v>
      </c>
      <c r="H58" s="3">
        <v>870</v>
      </c>
      <c r="I58" s="3">
        <v>870</v>
      </c>
      <c r="J58" s="3"/>
      <c r="K58" s="3">
        <f t="shared" si="0"/>
        <v>0</v>
      </c>
    </row>
    <row r="59" spans="1:11" x14ac:dyDescent="0.2">
      <c r="A59" s="491" t="s">
        <v>440</v>
      </c>
      <c r="B59" s="3">
        <v>6</v>
      </c>
      <c r="C59" s="3">
        <v>145</v>
      </c>
      <c r="D59" s="3">
        <f>ROUND(B59*C59,0)</f>
        <v>870</v>
      </c>
      <c r="E59" s="3"/>
      <c r="F59" s="3"/>
      <c r="G59" s="3"/>
      <c r="H59" s="3"/>
      <c r="I59" s="3"/>
      <c r="J59" s="3"/>
      <c r="K59" s="3">
        <f t="shared" si="0"/>
        <v>0</v>
      </c>
    </row>
    <row r="60" spans="1:11" x14ac:dyDescent="0.2">
      <c r="A60" s="491"/>
      <c r="B60" s="491"/>
      <c r="C60" s="491"/>
      <c r="D60" s="3"/>
      <c r="E60" s="3"/>
      <c r="F60" s="3"/>
      <c r="G60" s="3"/>
      <c r="H60" s="3"/>
      <c r="I60" s="3"/>
      <c r="J60" s="3"/>
      <c r="K60" s="3">
        <f t="shared" si="0"/>
        <v>0</v>
      </c>
    </row>
    <row r="61" spans="1:11" ht="13.5" x14ac:dyDescent="0.25">
      <c r="A61" s="494" t="s">
        <v>1155</v>
      </c>
      <c r="B61" s="491"/>
      <c r="C61" s="491"/>
      <c r="D61" s="3"/>
      <c r="E61" s="3">
        <v>2992</v>
      </c>
      <c r="F61" s="3">
        <v>3675</v>
      </c>
      <c r="G61" s="3">
        <v>3390</v>
      </c>
      <c r="H61" s="3">
        <v>3390</v>
      </c>
      <c r="I61" s="3">
        <v>3390</v>
      </c>
      <c r="J61" s="3"/>
      <c r="K61" s="3">
        <f t="shared" si="0"/>
        <v>0</v>
      </c>
    </row>
    <row r="62" spans="1:11" x14ac:dyDescent="0.2">
      <c r="A62" s="491" t="s">
        <v>440</v>
      </c>
      <c r="B62" s="3">
        <v>6</v>
      </c>
      <c r="C62" s="3">
        <v>565</v>
      </c>
      <c r="D62" s="3">
        <f>ROUND(B62*C62,0)</f>
        <v>3390</v>
      </c>
      <c r="E62" s="3"/>
      <c r="F62" s="3"/>
      <c r="G62" s="3"/>
      <c r="H62" s="3"/>
      <c r="I62" s="3"/>
      <c r="J62" s="3"/>
      <c r="K62" s="3">
        <f t="shared" si="0"/>
        <v>0</v>
      </c>
    </row>
    <row r="63" spans="1:11" x14ac:dyDescent="0.2">
      <c r="A63" s="491"/>
      <c r="B63" s="491"/>
      <c r="C63" s="491"/>
      <c r="D63" s="3"/>
      <c r="E63" s="3"/>
      <c r="F63" s="3"/>
      <c r="G63" s="3"/>
      <c r="H63" s="3"/>
      <c r="I63" s="3"/>
      <c r="J63" s="3"/>
      <c r="K63" s="3">
        <f t="shared" si="0"/>
        <v>0</v>
      </c>
    </row>
    <row r="64" spans="1:11" ht="13.5" x14ac:dyDescent="0.25">
      <c r="A64" s="494" t="s">
        <v>592</v>
      </c>
      <c r="B64" s="491"/>
      <c r="C64" s="491"/>
      <c r="D64" s="3"/>
      <c r="E64" s="3">
        <v>410</v>
      </c>
      <c r="F64" s="3">
        <v>596</v>
      </c>
      <c r="G64" s="3">
        <v>567</v>
      </c>
      <c r="H64" s="3">
        <v>588</v>
      </c>
      <c r="I64" s="3">
        <v>608</v>
      </c>
      <c r="J64" s="3"/>
      <c r="K64" s="3">
        <f t="shared" si="0"/>
        <v>21</v>
      </c>
    </row>
    <row r="65" spans="1:11" x14ac:dyDescent="0.2">
      <c r="A65" s="16" t="s">
        <v>194</v>
      </c>
      <c r="B65" s="3">
        <f>+D9</f>
        <v>88416</v>
      </c>
      <c r="C65" s="17">
        <v>1.89E-3</v>
      </c>
      <c r="D65" s="3">
        <f>ROUND(B65*C65,0)</f>
        <v>167</v>
      </c>
      <c r="E65" s="3"/>
      <c r="F65" s="3"/>
      <c r="G65" s="3"/>
      <c r="H65" s="3"/>
      <c r="I65" s="3"/>
      <c r="J65" s="3"/>
      <c r="K65" s="3">
        <f t="shared" si="0"/>
        <v>0</v>
      </c>
    </row>
    <row r="66" spans="1:11" x14ac:dyDescent="0.2">
      <c r="A66" s="16" t="s">
        <v>965</v>
      </c>
      <c r="B66" s="3">
        <f>+B45</f>
        <v>163155</v>
      </c>
      <c r="C66" s="17">
        <v>1.89E-3</v>
      </c>
      <c r="D66" s="3">
        <f>ROUND(B66*C66,0)-3</f>
        <v>305</v>
      </c>
      <c r="E66" s="3"/>
      <c r="F66" s="3"/>
      <c r="G66" s="3"/>
      <c r="H66" s="3"/>
      <c r="I66" s="3"/>
      <c r="J66" s="3"/>
      <c r="K66" s="3">
        <f t="shared" si="0"/>
        <v>0</v>
      </c>
    </row>
    <row r="67" spans="1:11" x14ac:dyDescent="0.2">
      <c r="A67" s="16" t="s">
        <v>1536</v>
      </c>
      <c r="B67" s="3">
        <f>+B46</f>
        <v>68614</v>
      </c>
      <c r="C67" s="17">
        <v>1.89E-3</v>
      </c>
      <c r="D67" s="3">
        <f>ROUND(B67*C67,0)</f>
        <v>130</v>
      </c>
      <c r="E67" s="3"/>
      <c r="F67" s="3"/>
      <c r="G67" s="3"/>
      <c r="H67" s="3"/>
      <c r="I67" s="3"/>
      <c r="J67" s="3"/>
      <c r="K67" s="3">
        <f t="shared" si="0"/>
        <v>0</v>
      </c>
    </row>
    <row r="68" spans="1:11" x14ac:dyDescent="0.2">
      <c r="A68" s="16" t="s">
        <v>196</v>
      </c>
      <c r="B68" s="3">
        <f>+B39</f>
        <v>2248</v>
      </c>
      <c r="C68" s="17">
        <v>1.89E-3</v>
      </c>
      <c r="D68" s="3">
        <f>ROUND(B68*C68,0)</f>
        <v>4</v>
      </c>
      <c r="E68" s="3"/>
      <c r="F68" s="3"/>
      <c r="G68" s="3"/>
      <c r="H68" s="3"/>
      <c r="I68" s="3"/>
      <c r="J68" s="3"/>
      <c r="K68" s="3">
        <f t="shared" si="0"/>
        <v>0</v>
      </c>
    </row>
    <row r="69" spans="1:11" ht="15" x14ac:dyDescent="0.35">
      <c r="A69" s="16" t="s">
        <v>1926</v>
      </c>
      <c r="B69" s="3">
        <f>+B40</f>
        <v>1200</v>
      </c>
      <c r="C69" s="17">
        <v>1.89E-3</v>
      </c>
      <c r="D69" s="14">
        <f>ROUND(B69*C69,0)</f>
        <v>2</v>
      </c>
      <c r="E69" s="3"/>
      <c r="F69" s="3"/>
      <c r="G69" s="3"/>
      <c r="H69" s="3"/>
      <c r="I69" s="3"/>
      <c r="J69" s="3"/>
      <c r="K69" s="3">
        <f t="shared" si="0"/>
        <v>0</v>
      </c>
    </row>
    <row r="70" spans="1:11" x14ac:dyDescent="0.2">
      <c r="A70" s="491" t="s">
        <v>1320</v>
      </c>
      <c r="B70" s="491"/>
      <c r="C70" s="491"/>
      <c r="D70" s="3">
        <f>SUM(D65:D69)</f>
        <v>608</v>
      </c>
      <c r="E70" s="3"/>
      <c r="F70" s="3"/>
      <c r="G70" s="3"/>
      <c r="H70" s="3"/>
      <c r="I70" s="3"/>
      <c r="J70" s="3"/>
      <c r="K70" s="3">
        <f t="shared" si="0"/>
        <v>0</v>
      </c>
    </row>
    <row r="71" spans="1:11" x14ac:dyDescent="0.2">
      <c r="A71" s="491"/>
      <c r="B71" s="491"/>
      <c r="C71" s="491"/>
      <c r="D71" s="3"/>
      <c r="E71" s="3"/>
      <c r="F71" s="3"/>
      <c r="G71" s="3"/>
      <c r="H71" s="3"/>
      <c r="I71" s="3"/>
      <c r="J71" s="3"/>
      <c r="K71" s="3">
        <f t="shared" si="0"/>
        <v>0</v>
      </c>
    </row>
    <row r="72" spans="1:11" ht="13.5" x14ac:dyDescent="0.25">
      <c r="A72" s="494" t="s">
        <v>1572</v>
      </c>
      <c r="B72" s="491"/>
      <c r="C72" s="491"/>
      <c r="D72" s="3"/>
      <c r="E72" s="3">
        <v>73</v>
      </c>
      <c r="F72" s="3">
        <v>144</v>
      </c>
      <c r="G72" s="3">
        <v>123</v>
      </c>
      <c r="H72" s="3">
        <v>123</v>
      </c>
      <c r="I72" s="3">
        <v>123</v>
      </c>
      <c r="J72" s="3"/>
      <c r="K72" s="3">
        <f t="shared" si="0"/>
        <v>0</v>
      </c>
    </row>
    <row r="73" spans="1:11" x14ac:dyDescent="0.2">
      <c r="A73" s="16" t="s">
        <v>2001</v>
      </c>
      <c r="B73" s="3">
        <v>0</v>
      </c>
      <c r="C73" s="3">
        <v>20</v>
      </c>
      <c r="D73" s="3">
        <f>ROUND(B73*C73,0)</f>
        <v>0</v>
      </c>
      <c r="E73" s="3"/>
      <c r="F73" s="3"/>
      <c r="G73" s="3"/>
      <c r="H73" s="3"/>
      <c r="I73" s="3"/>
      <c r="J73" s="3"/>
      <c r="K73" s="3">
        <f t="shared" si="0"/>
        <v>0</v>
      </c>
    </row>
    <row r="74" spans="1:11" x14ac:dyDescent="0.2">
      <c r="A74" s="16" t="s">
        <v>965</v>
      </c>
      <c r="B74" s="3">
        <v>5</v>
      </c>
      <c r="C74" s="3">
        <v>20</v>
      </c>
      <c r="D74" s="3">
        <f>ROUND(B74*C74,0)</f>
        <v>100</v>
      </c>
      <c r="E74" s="3"/>
      <c r="F74" s="3"/>
      <c r="G74" s="3"/>
      <c r="H74" s="3"/>
      <c r="I74" s="3"/>
      <c r="J74" s="3"/>
      <c r="K74" s="3">
        <f t="shared" si="0"/>
        <v>0</v>
      </c>
    </row>
    <row r="75" spans="1:11" x14ac:dyDescent="0.2">
      <c r="A75" s="16" t="s">
        <v>1536</v>
      </c>
      <c r="B75" s="3">
        <v>1</v>
      </c>
      <c r="C75" s="3">
        <v>20</v>
      </c>
      <c r="D75" s="3">
        <f>ROUND(B75*C75,0)</f>
        <v>20</v>
      </c>
      <c r="E75" s="3"/>
      <c r="F75" s="3"/>
      <c r="G75" s="3"/>
      <c r="H75" s="3"/>
      <c r="I75" s="3"/>
      <c r="J75" s="3"/>
      <c r="K75" s="3">
        <f t="shared" si="0"/>
        <v>0</v>
      </c>
    </row>
    <row r="76" spans="1:11" x14ac:dyDescent="0.2">
      <c r="A76" s="16" t="s">
        <v>2002</v>
      </c>
      <c r="B76" s="3">
        <f>+D28+D29</f>
        <v>2248</v>
      </c>
      <c r="C76" s="17">
        <v>1.4E-3</v>
      </c>
      <c r="D76" s="3">
        <f>ROUND(B76*C76,0)</f>
        <v>3</v>
      </c>
      <c r="E76" s="3"/>
      <c r="F76" s="3"/>
      <c r="G76" s="3"/>
      <c r="H76" s="3"/>
      <c r="I76" s="3"/>
      <c r="J76" s="3"/>
      <c r="K76" s="3">
        <f>+H76-G76</f>
        <v>0</v>
      </c>
    </row>
    <row r="77" spans="1:11" x14ac:dyDescent="0.2">
      <c r="A77" s="16" t="s">
        <v>196</v>
      </c>
      <c r="B77" s="3">
        <v>0</v>
      </c>
      <c r="C77" s="3">
        <v>20</v>
      </c>
      <c r="D77" s="21">
        <f>ROUND(B77*C77,0)</f>
        <v>0</v>
      </c>
      <c r="E77" s="3"/>
      <c r="F77" s="3"/>
      <c r="G77" s="3"/>
      <c r="H77" s="3"/>
      <c r="I77" s="3"/>
      <c r="J77" s="3"/>
      <c r="K77" s="3">
        <f>+H77-G77</f>
        <v>0</v>
      </c>
    </row>
    <row r="78" spans="1:11" x14ac:dyDescent="0.2">
      <c r="A78" s="491" t="s">
        <v>1320</v>
      </c>
      <c r="B78" s="491"/>
      <c r="C78" s="491"/>
      <c r="D78" s="3">
        <f>SUM(D73:D77)</f>
        <v>123</v>
      </c>
      <c r="E78" s="3"/>
      <c r="F78" s="3"/>
      <c r="G78" s="3"/>
      <c r="H78" s="3"/>
      <c r="I78" s="3"/>
      <c r="J78" s="3"/>
      <c r="K78" s="3">
        <f>+H78-G78</f>
        <v>0</v>
      </c>
    </row>
    <row r="79" spans="1:11" x14ac:dyDescent="0.2">
      <c r="A79" s="491"/>
      <c r="B79" s="491"/>
      <c r="C79" s="491"/>
      <c r="D79" s="3"/>
      <c r="E79" s="3"/>
      <c r="F79" s="3"/>
      <c r="G79" s="3"/>
      <c r="H79" s="3"/>
      <c r="I79" s="3"/>
      <c r="J79" s="3"/>
    </row>
    <row r="80" spans="1:11" x14ac:dyDescent="0.2">
      <c r="A80" s="491"/>
      <c r="B80" s="491"/>
      <c r="C80" s="491"/>
      <c r="D80" s="3"/>
      <c r="E80" s="3"/>
      <c r="F80" s="3"/>
      <c r="G80" s="3"/>
      <c r="H80" s="3"/>
      <c r="I80" s="3"/>
      <c r="J80" s="3"/>
    </row>
    <row r="81" spans="1:10" ht="13.5" x14ac:dyDescent="0.25">
      <c r="A81" s="494" t="s">
        <v>391</v>
      </c>
      <c r="B81" s="491"/>
      <c r="C81" s="491"/>
      <c r="D81" s="3"/>
      <c r="E81" s="3">
        <v>6879</v>
      </c>
      <c r="F81" s="3">
        <v>6811</v>
      </c>
      <c r="G81" s="3">
        <v>7000</v>
      </c>
      <c r="H81" s="3">
        <v>7000</v>
      </c>
      <c r="I81" s="3">
        <v>7000</v>
      </c>
      <c r="J81" s="3"/>
    </row>
    <row r="82" spans="1:10" x14ac:dyDescent="0.2">
      <c r="A82" s="491" t="s">
        <v>392</v>
      </c>
      <c r="B82" s="491"/>
      <c r="C82" s="3"/>
      <c r="D82" s="3">
        <v>150</v>
      </c>
      <c r="E82" s="3"/>
      <c r="F82" s="3"/>
      <c r="G82" s="3"/>
      <c r="H82" s="3"/>
      <c r="I82" s="3"/>
      <c r="J82" s="3"/>
    </row>
    <row r="83" spans="1:10" x14ac:dyDescent="0.2">
      <c r="A83" s="491" t="s">
        <v>744</v>
      </c>
      <c r="B83" s="491"/>
      <c r="C83" s="3"/>
      <c r="D83" s="3">
        <v>500</v>
      </c>
      <c r="E83" s="3"/>
      <c r="F83" s="3"/>
      <c r="G83" s="3"/>
      <c r="H83" s="3"/>
      <c r="I83" s="3"/>
      <c r="J83" s="3"/>
    </row>
    <row r="84" spans="1:10" x14ac:dyDescent="0.2">
      <c r="A84" s="491" t="s">
        <v>1554</v>
      </c>
      <c r="B84" s="491"/>
      <c r="C84" s="3"/>
      <c r="D84" s="3">
        <v>2745</v>
      </c>
      <c r="E84" s="3"/>
      <c r="F84" s="3"/>
      <c r="G84" s="3"/>
      <c r="H84" s="3"/>
      <c r="I84" s="3"/>
      <c r="J84" s="3"/>
    </row>
    <row r="85" spans="1:10" x14ac:dyDescent="0.2">
      <c r="A85" s="491" t="s">
        <v>393</v>
      </c>
      <c r="B85" s="491"/>
      <c r="C85" s="3"/>
      <c r="D85" s="3">
        <v>2411</v>
      </c>
      <c r="E85" s="3"/>
      <c r="F85" s="3"/>
      <c r="G85" s="3"/>
      <c r="H85" s="3"/>
      <c r="I85" s="3"/>
      <c r="J85" s="3"/>
    </row>
    <row r="86" spans="1:10" x14ac:dyDescent="0.2">
      <c r="A86" s="491" t="s">
        <v>275</v>
      </c>
      <c r="B86" s="491"/>
      <c r="C86" s="3"/>
      <c r="D86" s="3">
        <v>250</v>
      </c>
      <c r="E86" s="3"/>
      <c r="F86" s="3"/>
      <c r="G86" s="3"/>
      <c r="H86" s="3"/>
      <c r="I86" s="3"/>
      <c r="J86" s="3"/>
    </row>
    <row r="87" spans="1:10" ht="15" x14ac:dyDescent="0.35">
      <c r="A87" s="491" t="s">
        <v>1132</v>
      </c>
      <c r="B87" s="491"/>
      <c r="C87" s="14"/>
      <c r="D87" s="14">
        <v>944</v>
      </c>
      <c r="E87" s="3"/>
      <c r="F87" s="3"/>
      <c r="G87" s="3"/>
      <c r="H87" s="3"/>
      <c r="I87" s="3"/>
      <c r="J87" s="3"/>
    </row>
    <row r="88" spans="1:10" x14ac:dyDescent="0.2">
      <c r="A88" s="491" t="s">
        <v>1320</v>
      </c>
      <c r="B88" s="491"/>
      <c r="C88" s="3"/>
      <c r="D88" s="3">
        <f>SUM(D82:D87)</f>
        <v>7000</v>
      </c>
      <c r="E88" s="3"/>
      <c r="F88" s="3"/>
      <c r="G88" s="3"/>
      <c r="H88" s="3"/>
      <c r="I88" s="3"/>
      <c r="J88" s="3"/>
    </row>
    <row r="89" spans="1:10" x14ac:dyDescent="0.2">
      <c r="A89" s="491"/>
      <c r="B89" s="491"/>
      <c r="C89" s="3"/>
      <c r="D89" s="3"/>
      <c r="E89" s="3"/>
      <c r="F89" s="3"/>
      <c r="G89" s="3"/>
      <c r="H89" s="3"/>
      <c r="I89" s="3"/>
      <c r="J89" s="3"/>
    </row>
    <row r="90" spans="1:10" ht="13.5" x14ac:dyDescent="0.25">
      <c r="A90" s="494" t="s">
        <v>394</v>
      </c>
      <c r="B90" s="491"/>
      <c r="C90" s="3"/>
      <c r="D90" s="3"/>
      <c r="E90" s="3">
        <v>1515</v>
      </c>
      <c r="F90" s="3">
        <v>4000</v>
      </c>
      <c r="G90" s="3">
        <v>5000</v>
      </c>
      <c r="H90" s="3">
        <v>5000</v>
      </c>
      <c r="I90" s="3">
        <v>5000</v>
      </c>
      <c r="J90" s="3"/>
    </row>
    <row r="91" spans="1:10" x14ac:dyDescent="0.2">
      <c r="A91" s="491" t="s">
        <v>395</v>
      </c>
      <c r="B91" s="491"/>
      <c r="C91" s="3"/>
      <c r="D91" s="3">
        <v>5000</v>
      </c>
      <c r="E91" s="3"/>
      <c r="F91" s="3"/>
      <c r="G91" s="3"/>
      <c r="H91" s="3"/>
      <c r="I91" s="3"/>
      <c r="J91" s="3"/>
    </row>
    <row r="92" spans="1:10" x14ac:dyDescent="0.2">
      <c r="A92" s="491"/>
      <c r="B92" s="491"/>
      <c r="C92" s="3"/>
      <c r="D92" s="3"/>
      <c r="E92" s="3"/>
      <c r="F92" s="3"/>
      <c r="G92" s="3"/>
      <c r="H92" s="3"/>
      <c r="I92" s="3"/>
      <c r="J92" s="3"/>
    </row>
    <row r="93" spans="1:10" ht="13.5" x14ac:dyDescent="0.25">
      <c r="A93" s="494" t="s">
        <v>396</v>
      </c>
      <c r="B93" s="491"/>
      <c r="C93" s="3"/>
      <c r="D93" s="3"/>
      <c r="E93" s="3">
        <v>33442</v>
      </c>
      <c r="F93" s="3">
        <v>39000</v>
      </c>
      <c r="G93" s="3">
        <v>39000</v>
      </c>
      <c r="H93" s="3">
        <v>39000</v>
      </c>
      <c r="I93" s="3">
        <v>39000</v>
      </c>
      <c r="J93" s="3"/>
    </row>
    <row r="94" spans="1:10" x14ac:dyDescent="0.2">
      <c r="A94" s="27" t="s">
        <v>1148</v>
      </c>
      <c r="B94" s="9"/>
      <c r="C94" s="3"/>
      <c r="D94" s="3" t="s">
        <v>418</v>
      </c>
      <c r="E94" s="3"/>
      <c r="F94" s="3"/>
      <c r="G94" s="3"/>
      <c r="H94" s="3"/>
      <c r="I94" s="3"/>
      <c r="J94" s="3"/>
    </row>
    <row r="95" spans="1:10" x14ac:dyDescent="0.2">
      <c r="A95" s="491" t="s">
        <v>1149</v>
      </c>
      <c r="B95" s="3"/>
      <c r="C95" s="3"/>
      <c r="D95" s="3">
        <v>39000</v>
      </c>
      <c r="E95" s="3"/>
      <c r="F95" s="3"/>
      <c r="G95" s="3"/>
      <c r="H95" s="3"/>
      <c r="I95" s="3"/>
      <c r="J95" s="3"/>
    </row>
    <row r="96" spans="1:10" x14ac:dyDescent="0.2">
      <c r="A96" s="491"/>
      <c r="B96" s="491"/>
      <c r="C96" s="3"/>
      <c r="D96" s="3"/>
      <c r="E96" s="3"/>
      <c r="F96" s="3"/>
      <c r="G96" s="3"/>
      <c r="H96" s="3"/>
      <c r="I96" s="3"/>
      <c r="J96" s="3"/>
    </row>
    <row r="97" spans="1:10" ht="13.5" x14ac:dyDescent="0.25">
      <c r="A97" s="494" t="s">
        <v>1067</v>
      </c>
      <c r="B97" s="3"/>
      <c r="C97" s="11"/>
      <c r="D97" s="11" t="s">
        <v>418</v>
      </c>
      <c r="E97" s="3">
        <v>1741</v>
      </c>
      <c r="F97" s="3">
        <v>2000</v>
      </c>
      <c r="G97" s="3">
        <v>2000</v>
      </c>
      <c r="H97" s="3">
        <v>2000</v>
      </c>
      <c r="I97" s="3">
        <v>2000</v>
      </c>
      <c r="J97" s="3"/>
    </row>
    <row r="98" spans="1:10" x14ac:dyDescent="0.2">
      <c r="A98" s="491" t="s">
        <v>1026</v>
      </c>
      <c r="B98" s="3"/>
      <c r="C98" s="3"/>
      <c r="D98" s="3">
        <v>2000</v>
      </c>
      <c r="E98" s="3"/>
      <c r="F98" s="3"/>
      <c r="G98" s="3"/>
      <c r="H98" s="3"/>
      <c r="I98" s="3"/>
      <c r="J98" s="3"/>
    </row>
    <row r="99" spans="1:10" x14ac:dyDescent="0.2">
      <c r="A99" s="491"/>
      <c r="B99" s="3"/>
      <c r="C99" s="3"/>
      <c r="D99" s="3"/>
      <c r="E99" s="3"/>
      <c r="F99" s="3"/>
      <c r="G99" s="3"/>
      <c r="H99" s="3"/>
      <c r="I99" s="3"/>
      <c r="J99" s="3"/>
    </row>
    <row r="100" spans="1:10" ht="13.5" x14ac:dyDescent="0.25">
      <c r="A100" s="494" t="s">
        <v>1068</v>
      </c>
      <c r="B100" s="491"/>
      <c r="C100" s="3"/>
      <c r="D100" s="3"/>
      <c r="E100" s="3">
        <v>335</v>
      </c>
      <c r="F100" s="3">
        <v>335</v>
      </c>
      <c r="G100" s="3">
        <v>335</v>
      </c>
      <c r="H100" s="3">
        <v>335</v>
      </c>
      <c r="I100" s="3">
        <v>335</v>
      </c>
      <c r="J100" s="3"/>
    </row>
    <row r="101" spans="1:10" x14ac:dyDescent="0.2">
      <c r="A101" s="9" t="s">
        <v>1335</v>
      </c>
      <c r="B101" s="9"/>
      <c r="C101" s="491"/>
      <c r="D101" s="3">
        <v>335</v>
      </c>
      <c r="E101" s="3"/>
      <c r="F101" s="3"/>
      <c r="G101" s="3"/>
      <c r="H101" s="3"/>
      <c r="I101" s="3"/>
      <c r="J101" s="3"/>
    </row>
    <row r="102" spans="1:10" x14ac:dyDescent="0.2">
      <c r="A102" s="491"/>
      <c r="B102" s="491"/>
      <c r="C102" s="3"/>
      <c r="D102" s="3"/>
      <c r="E102" s="3"/>
      <c r="F102" s="3"/>
      <c r="G102" s="3"/>
      <c r="H102" s="3"/>
      <c r="I102" s="3"/>
      <c r="J102" s="3"/>
    </row>
    <row r="103" spans="1:10" ht="13.5" x14ac:dyDescent="0.25">
      <c r="A103" s="20" t="s">
        <v>1390</v>
      </c>
      <c r="B103" s="491"/>
      <c r="C103" s="3"/>
      <c r="D103" s="3"/>
      <c r="E103" s="3">
        <v>2924</v>
      </c>
      <c r="F103" s="3">
        <v>3461</v>
      </c>
      <c r="G103" s="3">
        <v>3461</v>
      </c>
      <c r="H103" s="3">
        <v>3461</v>
      </c>
      <c r="I103" s="3">
        <v>3461</v>
      </c>
      <c r="J103" s="3"/>
    </row>
    <row r="104" spans="1:10" x14ac:dyDescent="0.2">
      <c r="A104" s="491" t="s">
        <v>1391</v>
      </c>
      <c r="B104" s="491"/>
      <c r="C104" s="491"/>
      <c r="D104" s="230">
        <v>3461</v>
      </c>
      <c r="E104" s="3"/>
      <c r="F104" s="3"/>
      <c r="G104" s="3"/>
      <c r="H104" s="3"/>
      <c r="I104" s="3"/>
      <c r="J104" s="3"/>
    </row>
    <row r="105" spans="1:10" x14ac:dyDescent="0.2">
      <c r="A105" s="491"/>
      <c r="B105" s="491"/>
      <c r="C105" s="3"/>
      <c r="D105" s="3"/>
      <c r="E105" s="3"/>
      <c r="F105" s="3"/>
      <c r="G105" s="3"/>
      <c r="H105" s="3"/>
      <c r="I105" s="3"/>
      <c r="J105" s="3"/>
    </row>
    <row r="106" spans="1:10" ht="13.5" x14ac:dyDescent="0.25">
      <c r="A106" s="494" t="s">
        <v>1139</v>
      </c>
      <c r="B106" s="491"/>
      <c r="C106" s="11"/>
      <c r="D106" s="11"/>
      <c r="E106" s="3">
        <v>409</v>
      </c>
      <c r="F106" s="3">
        <v>675</v>
      </c>
      <c r="G106" s="3">
        <v>675</v>
      </c>
      <c r="H106" s="3">
        <v>675</v>
      </c>
      <c r="I106" s="3">
        <v>675</v>
      </c>
      <c r="J106" s="3"/>
    </row>
    <row r="107" spans="1:10" x14ac:dyDescent="0.2">
      <c r="A107" s="491" t="s">
        <v>1315</v>
      </c>
      <c r="B107" s="491"/>
      <c r="C107" s="3"/>
      <c r="D107" s="3">
        <v>0</v>
      </c>
      <c r="E107" s="3"/>
      <c r="F107" s="3"/>
      <c r="G107" s="3"/>
      <c r="H107" s="3"/>
      <c r="I107" s="3"/>
      <c r="J107" s="3"/>
    </row>
    <row r="108" spans="1:10" x14ac:dyDescent="0.2">
      <c r="A108" s="491" t="s">
        <v>920</v>
      </c>
      <c r="B108" s="491"/>
      <c r="C108" s="3"/>
      <c r="D108" s="3">
        <v>125</v>
      </c>
      <c r="E108" s="3"/>
      <c r="F108" s="3"/>
      <c r="G108" s="3"/>
      <c r="H108" s="3"/>
      <c r="I108" s="3"/>
      <c r="J108" s="3"/>
    </row>
    <row r="109" spans="1:10" x14ac:dyDescent="0.2">
      <c r="A109" s="491" t="s">
        <v>921</v>
      </c>
      <c r="B109" s="491"/>
      <c r="C109" s="3"/>
      <c r="D109" s="3">
        <v>125</v>
      </c>
      <c r="E109" s="3"/>
      <c r="F109" s="3"/>
      <c r="G109" s="3"/>
      <c r="H109" s="3"/>
      <c r="I109" s="3"/>
      <c r="J109" s="3"/>
    </row>
    <row r="110" spans="1:10" x14ac:dyDescent="0.2">
      <c r="A110" s="491" t="s">
        <v>922</v>
      </c>
      <c r="B110" s="491"/>
      <c r="C110" s="3"/>
      <c r="D110" s="3">
        <v>50</v>
      </c>
      <c r="E110" s="3"/>
      <c r="F110" s="3"/>
      <c r="G110" s="3"/>
      <c r="H110" s="3"/>
      <c r="I110" s="3"/>
      <c r="J110" s="3"/>
    </row>
    <row r="111" spans="1:10" x14ac:dyDescent="0.2">
      <c r="A111" s="491" t="s">
        <v>923</v>
      </c>
      <c r="B111" s="491"/>
      <c r="C111" s="3"/>
      <c r="D111" s="3">
        <v>150</v>
      </c>
      <c r="E111" s="3"/>
      <c r="F111" s="3"/>
      <c r="G111" s="3"/>
      <c r="H111" s="3"/>
      <c r="I111" s="3"/>
      <c r="J111" s="3"/>
    </row>
    <row r="112" spans="1:10" x14ac:dyDescent="0.2">
      <c r="A112" s="491" t="s">
        <v>1637</v>
      </c>
      <c r="B112" s="491"/>
      <c r="C112" s="3"/>
      <c r="D112" s="3">
        <v>125</v>
      </c>
      <c r="E112" s="3"/>
      <c r="F112" s="3"/>
      <c r="G112" s="3"/>
      <c r="H112" s="3"/>
      <c r="I112" s="3"/>
      <c r="J112" s="3"/>
    </row>
    <row r="113" spans="1:10" ht="15" x14ac:dyDescent="0.35">
      <c r="A113" s="491" t="s">
        <v>924</v>
      </c>
      <c r="B113" s="491"/>
      <c r="C113" s="14"/>
      <c r="D113" s="14">
        <v>100</v>
      </c>
      <c r="E113" s="3"/>
      <c r="F113" s="3"/>
      <c r="G113" s="3"/>
      <c r="H113" s="3"/>
      <c r="I113" s="3"/>
      <c r="J113" s="3"/>
    </row>
    <row r="114" spans="1:10" x14ac:dyDescent="0.2">
      <c r="A114" s="491" t="s">
        <v>1320</v>
      </c>
      <c r="B114" s="491"/>
      <c r="C114" s="3"/>
      <c r="D114" s="3">
        <f>SUM(D107:D113)</f>
        <v>675</v>
      </c>
      <c r="E114" s="3"/>
      <c r="F114" s="3"/>
      <c r="G114" s="3"/>
      <c r="H114" s="3"/>
      <c r="I114" s="3"/>
      <c r="J114" s="3"/>
    </row>
    <row r="115" spans="1:10" x14ac:dyDescent="0.2">
      <c r="A115" s="491"/>
      <c r="B115" s="491"/>
      <c r="C115" s="3"/>
      <c r="D115" s="3"/>
      <c r="E115" s="3"/>
      <c r="F115" s="3"/>
      <c r="G115" s="3"/>
      <c r="H115" s="3"/>
      <c r="I115" s="3"/>
      <c r="J115" s="3"/>
    </row>
    <row r="116" spans="1:10" ht="13.5" x14ac:dyDescent="0.25">
      <c r="A116" s="494" t="s">
        <v>498</v>
      </c>
      <c r="B116" s="491"/>
      <c r="C116" s="3"/>
      <c r="D116" s="3"/>
      <c r="E116" s="3">
        <v>15604</v>
      </c>
      <c r="F116" s="3">
        <v>16298</v>
      </c>
      <c r="G116" s="3">
        <v>16439</v>
      </c>
      <c r="H116" s="3">
        <v>16439</v>
      </c>
      <c r="I116" s="3">
        <v>16439</v>
      </c>
      <c r="J116" s="3"/>
    </row>
    <row r="117" spans="1:10" x14ac:dyDescent="0.2">
      <c r="A117" s="491" t="s">
        <v>76</v>
      </c>
      <c r="B117" s="491"/>
      <c r="C117" s="491"/>
      <c r="D117" s="3">
        <v>7253</v>
      </c>
      <c r="E117" s="3"/>
      <c r="F117" s="3"/>
      <c r="G117" s="3"/>
      <c r="H117" s="3"/>
      <c r="I117" s="3"/>
      <c r="J117" s="3"/>
    </row>
    <row r="118" spans="1:10" x14ac:dyDescent="0.2">
      <c r="A118" s="491" t="s">
        <v>77</v>
      </c>
      <c r="B118" s="491"/>
      <c r="C118" s="491"/>
      <c r="D118" s="3">
        <v>6726</v>
      </c>
      <c r="E118" s="3"/>
      <c r="F118" s="3"/>
      <c r="G118" s="3"/>
      <c r="H118" s="3"/>
      <c r="I118" s="3"/>
      <c r="J118" s="3"/>
    </row>
    <row r="119" spans="1:10" x14ac:dyDescent="0.2">
      <c r="A119" s="491" t="s">
        <v>2440</v>
      </c>
      <c r="B119" s="491"/>
      <c r="C119" s="491"/>
      <c r="D119" s="3">
        <v>600</v>
      </c>
      <c r="E119" s="3"/>
      <c r="F119" s="3"/>
      <c r="G119" s="3"/>
      <c r="H119" s="3"/>
      <c r="I119" s="3"/>
      <c r="J119" s="3"/>
    </row>
    <row r="120" spans="1:10" x14ac:dyDescent="0.2">
      <c r="A120" s="491" t="s">
        <v>2024</v>
      </c>
      <c r="B120" s="491"/>
      <c r="C120" s="491"/>
      <c r="D120" s="3">
        <v>240</v>
      </c>
      <c r="E120" s="3"/>
      <c r="F120" s="3"/>
      <c r="G120" s="3"/>
      <c r="H120" s="3"/>
      <c r="I120" s="3"/>
      <c r="J120" s="3"/>
    </row>
    <row r="121" spans="1:10" x14ac:dyDescent="0.2">
      <c r="A121" s="491" t="s">
        <v>932</v>
      </c>
      <c r="B121" s="491"/>
      <c r="C121" s="491"/>
      <c r="D121" s="3">
        <v>870</v>
      </c>
      <c r="E121" s="3"/>
      <c r="F121" s="3"/>
      <c r="G121" s="3"/>
      <c r="H121" s="3"/>
      <c r="I121" s="3"/>
      <c r="J121" s="3"/>
    </row>
    <row r="122" spans="1:10" ht="15" x14ac:dyDescent="0.35">
      <c r="A122" s="491" t="s">
        <v>593</v>
      </c>
      <c r="B122" s="491"/>
      <c r="C122" s="491"/>
      <c r="D122" s="14">
        <v>750</v>
      </c>
      <c r="E122" s="3"/>
      <c r="F122" s="3"/>
      <c r="G122" s="3"/>
      <c r="H122" s="3"/>
      <c r="I122" s="3"/>
      <c r="J122" s="3"/>
    </row>
    <row r="123" spans="1:10" x14ac:dyDescent="0.2">
      <c r="A123" s="491" t="s">
        <v>1320</v>
      </c>
      <c r="B123" s="491"/>
      <c r="C123" s="491"/>
      <c r="D123" s="3">
        <f>SUM(D117:D122)</f>
        <v>16439</v>
      </c>
      <c r="E123" s="3"/>
      <c r="F123" s="3"/>
      <c r="G123" s="3"/>
      <c r="H123" s="3"/>
      <c r="I123" s="3"/>
      <c r="J123" s="3"/>
    </row>
    <row r="124" spans="1:10" x14ac:dyDescent="0.2">
      <c r="A124" s="491"/>
      <c r="B124" s="491"/>
      <c r="C124" s="3"/>
      <c r="D124" s="3"/>
      <c r="E124" s="3"/>
      <c r="F124" s="3"/>
      <c r="G124" s="3"/>
      <c r="H124" s="3"/>
      <c r="I124" s="3"/>
      <c r="J124" s="3"/>
    </row>
    <row r="125" spans="1:10" ht="13.5" x14ac:dyDescent="0.25">
      <c r="A125" s="494" t="s">
        <v>1519</v>
      </c>
      <c r="B125" s="491"/>
      <c r="C125" s="3"/>
      <c r="D125" s="3"/>
      <c r="E125" s="3">
        <v>2302</v>
      </c>
      <c r="F125" s="3">
        <v>2605</v>
      </c>
      <c r="G125" s="3">
        <v>2605</v>
      </c>
      <c r="H125" s="3">
        <v>2605</v>
      </c>
      <c r="I125" s="3">
        <v>2605</v>
      </c>
      <c r="J125" s="3"/>
    </row>
    <row r="126" spans="1:10" x14ac:dyDescent="0.2">
      <c r="A126" s="491" t="s">
        <v>920</v>
      </c>
      <c r="B126" s="491"/>
      <c r="C126" s="491"/>
      <c r="D126" s="3">
        <v>880</v>
      </c>
      <c r="E126" s="3"/>
      <c r="F126" s="3"/>
      <c r="G126" s="3"/>
      <c r="H126" s="3"/>
      <c r="I126" s="3"/>
      <c r="J126" s="3"/>
    </row>
    <row r="127" spans="1:10" x14ac:dyDescent="0.2">
      <c r="A127" s="491" t="s">
        <v>921</v>
      </c>
      <c r="B127" s="491"/>
      <c r="C127" s="491"/>
      <c r="D127" s="3">
        <v>880</v>
      </c>
      <c r="E127" s="3"/>
      <c r="F127" s="3"/>
      <c r="G127" s="3"/>
      <c r="H127" s="3"/>
      <c r="I127" s="3"/>
      <c r="J127" s="3"/>
    </row>
    <row r="128" spans="1:10" x14ac:dyDescent="0.2">
      <c r="A128" s="491" t="s">
        <v>710</v>
      </c>
      <c r="B128" s="491"/>
      <c r="C128" s="491"/>
      <c r="D128" s="3">
        <v>325</v>
      </c>
      <c r="E128" s="3"/>
      <c r="F128" s="3"/>
      <c r="G128" s="3"/>
      <c r="H128" s="3"/>
      <c r="I128" s="3"/>
      <c r="J128" s="3"/>
    </row>
    <row r="129" spans="1:10" x14ac:dyDescent="0.2">
      <c r="A129" s="491" t="s">
        <v>748</v>
      </c>
      <c r="B129" s="491"/>
      <c r="C129" s="491"/>
      <c r="D129" s="3">
        <v>120</v>
      </c>
      <c r="E129" s="3"/>
      <c r="F129" s="3"/>
      <c r="G129" s="3"/>
      <c r="H129" s="3"/>
      <c r="I129" s="3"/>
      <c r="J129" s="3"/>
    </row>
    <row r="130" spans="1:10" ht="15" x14ac:dyDescent="0.35">
      <c r="A130" s="491" t="s">
        <v>1951</v>
      </c>
      <c r="B130" s="491"/>
      <c r="C130" s="491"/>
      <c r="D130" s="14">
        <v>400</v>
      </c>
      <c r="E130" s="3"/>
      <c r="F130" s="3"/>
      <c r="G130" s="3"/>
      <c r="H130" s="3"/>
      <c r="I130" s="3"/>
      <c r="J130" s="3"/>
    </row>
    <row r="131" spans="1:10" x14ac:dyDescent="0.2">
      <c r="A131" s="491" t="s">
        <v>1320</v>
      </c>
      <c r="B131" s="491"/>
      <c r="C131" s="491"/>
      <c r="D131" s="3">
        <f>SUM(D126:D130)</f>
        <v>2605</v>
      </c>
      <c r="E131" s="3"/>
      <c r="F131" s="3"/>
      <c r="G131" s="3"/>
      <c r="H131" s="3"/>
      <c r="I131" s="3"/>
      <c r="J131" s="3"/>
    </row>
    <row r="132" spans="1:10" x14ac:dyDescent="0.2">
      <c r="A132" s="491"/>
      <c r="B132" s="491"/>
      <c r="C132" s="3"/>
      <c r="D132" s="3"/>
      <c r="E132" s="3"/>
      <c r="F132" s="3"/>
      <c r="G132" s="3"/>
      <c r="H132" s="3"/>
      <c r="I132" s="3"/>
      <c r="J132" s="3"/>
    </row>
    <row r="133" spans="1:10" ht="13.5" x14ac:dyDescent="0.25">
      <c r="A133" s="494" t="s">
        <v>1520</v>
      </c>
      <c r="B133" s="491"/>
      <c r="C133" s="3"/>
      <c r="D133" s="3"/>
      <c r="E133" s="3">
        <v>5965</v>
      </c>
      <c r="F133" s="3">
        <v>9600</v>
      </c>
      <c r="G133" s="3">
        <v>9600</v>
      </c>
      <c r="H133" s="3">
        <v>9600</v>
      </c>
      <c r="I133" s="3">
        <v>9600</v>
      </c>
      <c r="J133" s="3"/>
    </row>
    <row r="134" spans="1:10" x14ac:dyDescent="0.2">
      <c r="A134" s="491" t="s">
        <v>465</v>
      </c>
      <c r="B134" s="491"/>
      <c r="C134" s="3" t="s">
        <v>418</v>
      </c>
      <c r="D134" s="3"/>
      <c r="E134" s="3"/>
      <c r="F134" s="3"/>
      <c r="G134" s="3"/>
      <c r="H134" s="3"/>
      <c r="I134" s="3"/>
      <c r="J134" s="3"/>
    </row>
    <row r="135" spans="1:10" x14ac:dyDescent="0.2">
      <c r="A135" s="491" t="s">
        <v>721</v>
      </c>
      <c r="B135" s="491"/>
      <c r="C135" s="491"/>
      <c r="D135" s="3">
        <v>9600</v>
      </c>
      <c r="E135" s="3"/>
      <c r="F135" s="3"/>
      <c r="G135" s="3"/>
      <c r="H135" s="3"/>
      <c r="I135" s="3"/>
      <c r="J135" s="3"/>
    </row>
    <row r="136" spans="1:10" x14ac:dyDescent="0.2">
      <c r="A136" s="491"/>
      <c r="B136" s="491"/>
      <c r="C136" s="491"/>
      <c r="D136" s="3"/>
      <c r="E136" s="3"/>
      <c r="F136" s="3"/>
      <c r="G136" s="3"/>
      <c r="H136" s="3"/>
      <c r="I136" s="3"/>
      <c r="J136" s="3"/>
    </row>
    <row r="137" spans="1:10" ht="13.5" x14ac:dyDescent="0.25">
      <c r="A137" s="494" t="s">
        <v>722</v>
      </c>
      <c r="B137" s="491"/>
      <c r="C137" s="491"/>
      <c r="D137" s="3"/>
      <c r="E137" s="3">
        <v>0</v>
      </c>
      <c r="F137" s="3">
        <v>310</v>
      </c>
      <c r="G137" s="3">
        <v>310</v>
      </c>
      <c r="H137" s="3">
        <v>310</v>
      </c>
      <c r="I137" s="3">
        <v>310</v>
      </c>
      <c r="J137" s="3"/>
    </row>
    <row r="138" spans="1:10" x14ac:dyDescent="0.2">
      <c r="A138" s="491" t="s">
        <v>234</v>
      </c>
      <c r="B138" s="491"/>
      <c r="C138" s="491"/>
      <c r="D138" s="3"/>
      <c r="E138" s="3"/>
      <c r="F138" s="3"/>
      <c r="G138" s="3"/>
      <c r="H138" s="3"/>
      <c r="I138" s="3"/>
      <c r="J138" s="3"/>
    </row>
    <row r="139" spans="1:10" x14ac:dyDescent="0.2">
      <c r="A139" s="491"/>
      <c r="B139" s="491"/>
      <c r="C139" s="491"/>
      <c r="D139" s="3"/>
      <c r="E139" s="3"/>
      <c r="F139" s="3"/>
      <c r="G139" s="3"/>
      <c r="H139" s="3"/>
      <c r="I139" s="3"/>
      <c r="J139" s="3"/>
    </row>
    <row r="140" spans="1:10" ht="13.5" x14ac:dyDescent="0.25">
      <c r="A140" s="494" t="s">
        <v>1147</v>
      </c>
      <c r="B140" s="491"/>
      <c r="C140" s="491"/>
      <c r="D140" s="3"/>
      <c r="E140" s="3">
        <v>1047</v>
      </c>
      <c r="F140" s="3">
        <v>1025</v>
      </c>
      <c r="G140" s="3">
        <v>1300</v>
      </c>
      <c r="H140" s="3">
        <v>1300</v>
      </c>
      <c r="I140" s="3">
        <v>1300</v>
      </c>
      <c r="J140" s="3"/>
    </row>
    <row r="141" spans="1:10" x14ac:dyDescent="0.2">
      <c r="A141" s="491" t="s">
        <v>723</v>
      </c>
      <c r="B141" s="491"/>
      <c r="C141" s="491"/>
      <c r="D141" s="3">
        <v>1300</v>
      </c>
      <c r="E141" s="3"/>
      <c r="F141" s="491"/>
      <c r="G141" s="468"/>
      <c r="H141" s="475"/>
      <c r="I141" s="557"/>
      <c r="J141" s="557"/>
    </row>
    <row r="142" spans="1:10" x14ac:dyDescent="0.2">
      <c r="A142" s="491"/>
      <c r="B142" s="491"/>
      <c r="C142" s="491"/>
      <c r="D142" s="3"/>
      <c r="E142" s="3"/>
      <c r="F142" s="491"/>
      <c r="G142" s="468"/>
      <c r="H142" s="475"/>
      <c r="I142" s="557"/>
      <c r="J142" s="557"/>
    </row>
    <row r="143" spans="1:10" ht="13.5" x14ac:dyDescent="0.25">
      <c r="A143" s="494" t="s">
        <v>2008</v>
      </c>
      <c r="B143" s="491"/>
      <c r="C143" s="491"/>
      <c r="D143" s="3"/>
      <c r="E143" s="3">
        <v>0</v>
      </c>
      <c r="F143" s="3"/>
      <c r="G143" s="3"/>
      <c r="H143" s="3"/>
      <c r="I143" s="3"/>
      <c r="J143" s="3"/>
    </row>
    <row r="144" spans="1:10" x14ac:dyDescent="0.2">
      <c r="A144" s="491" t="s">
        <v>1132</v>
      </c>
      <c r="B144" s="491"/>
      <c r="C144" s="491"/>
      <c r="D144" s="3">
        <v>0</v>
      </c>
      <c r="E144" s="3"/>
      <c r="F144" s="491"/>
      <c r="G144" s="468"/>
      <c r="H144" s="475"/>
      <c r="I144" s="557"/>
      <c r="J144" s="557"/>
    </row>
    <row r="145" spans="1:10" x14ac:dyDescent="0.2">
      <c r="A145" s="491"/>
      <c r="B145" s="491"/>
      <c r="C145" s="491"/>
      <c r="D145" s="3"/>
      <c r="E145" s="3"/>
      <c r="F145" s="491"/>
      <c r="G145" s="468"/>
      <c r="H145" s="475"/>
      <c r="I145" s="557"/>
      <c r="J145" s="557"/>
    </row>
    <row r="146" spans="1:10" ht="15" x14ac:dyDescent="0.35">
      <c r="A146" s="494" t="s">
        <v>687</v>
      </c>
      <c r="B146" s="491"/>
      <c r="C146" s="491"/>
      <c r="D146" s="11" t="s">
        <v>418</v>
      </c>
      <c r="E146" s="14">
        <v>1375</v>
      </c>
      <c r="F146" s="14">
        <v>3000</v>
      </c>
      <c r="G146" s="14">
        <v>3000</v>
      </c>
      <c r="H146" s="14">
        <v>3000</v>
      </c>
      <c r="I146" s="14">
        <v>3000</v>
      </c>
      <c r="J146" s="14"/>
    </row>
    <row r="147" spans="1:10" ht="15" x14ac:dyDescent="0.35">
      <c r="A147" s="491" t="s">
        <v>933</v>
      </c>
      <c r="B147" s="491"/>
      <c r="C147" s="3">
        <v>2000</v>
      </c>
      <c r="D147" s="3">
        <v>3000</v>
      </c>
      <c r="E147" s="14"/>
      <c r="F147" s="3"/>
      <c r="G147" s="3"/>
      <c r="H147" s="3"/>
      <c r="I147" s="3"/>
      <c r="J147" s="3"/>
    </row>
    <row r="148" spans="1:10" s="371" customFormat="1" x14ac:dyDescent="0.2">
      <c r="A148" s="27" t="s">
        <v>2441</v>
      </c>
      <c r="B148" s="491"/>
      <c r="C148" s="21">
        <v>1000</v>
      </c>
      <c r="D148" s="21">
        <v>0</v>
      </c>
      <c r="E148" s="3"/>
      <c r="F148" s="3"/>
      <c r="G148" s="3"/>
      <c r="H148" s="3"/>
      <c r="I148" s="3"/>
      <c r="J148" s="3"/>
    </row>
    <row r="149" spans="1:10" s="371" customFormat="1" ht="13.5" x14ac:dyDescent="0.25">
      <c r="A149" s="58" t="s">
        <v>418</v>
      </c>
      <c r="B149" s="491"/>
      <c r="C149" s="3">
        <f>SUM(C147:C148)</f>
        <v>3000</v>
      </c>
      <c r="D149" s="3">
        <f>SUM(D147:D148)</f>
        <v>3000</v>
      </c>
      <c r="E149" s="3"/>
      <c r="F149" s="3"/>
      <c r="G149" s="3"/>
      <c r="H149" s="3"/>
      <c r="I149" s="3"/>
      <c r="J149" s="3"/>
    </row>
    <row r="150" spans="1:10" ht="13.5" x14ac:dyDescent="0.25">
      <c r="A150" s="58"/>
      <c r="B150" s="491"/>
      <c r="C150" s="3"/>
      <c r="D150" s="3"/>
      <c r="E150" s="3"/>
      <c r="F150" s="3"/>
      <c r="G150" s="3"/>
      <c r="H150" s="3"/>
      <c r="I150" s="3"/>
      <c r="J150" s="3"/>
    </row>
    <row r="151" spans="1:10" x14ac:dyDescent="0.2">
      <c r="A151" s="491" t="s">
        <v>1405</v>
      </c>
      <c r="B151" s="491"/>
      <c r="C151" s="3"/>
      <c r="D151" s="3"/>
      <c r="E151" s="3">
        <f>SUM(E1:E150)</f>
        <v>565281</v>
      </c>
      <c r="F151" s="3">
        <f t="shared" ref="F151:J151" si="1">SUM(F1:F150)</f>
        <v>648816</v>
      </c>
      <c r="G151" s="3">
        <f t="shared" si="1"/>
        <v>584701</v>
      </c>
      <c r="H151" s="3">
        <f t="shared" ref="H151" si="2">SUM(H1:H150)</f>
        <v>597923</v>
      </c>
      <c r="I151" s="3">
        <f t="shared" si="1"/>
        <v>611033</v>
      </c>
      <c r="J151" s="3">
        <f t="shared" si="1"/>
        <v>0</v>
      </c>
    </row>
    <row r="152" spans="1:10" x14ac:dyDescent="0.2">
      <c r="A152" s="491"/>
      <c r="B152" s="491"/>
      <c r="C152" s="491"/>
      <c r="D152" s="491"/>
      <c r="E152" s="491"/>
      <c r="F152" s="491"/>
      <c r="H152" s="475"/>
      <c r="I152" s="413"/>
    </row>
    <row r="153" spans="1:10" x14ac:dyDescent="0.2">
      <c r="A153" s="348" t="s">
        <v>628</v>
      </c>
      <c r="E153" s="3">
        <f>SUM(E5:E78)</f>
        <v>491743</v>
      </c>
      <c r="F153" s="3">
        <f>SUM(F5:F78)</f>
        <v>559696</v>
      </c>
      <c r="G153" s="3">
        <f>SUM(G5:G79)</f>
        <v>493976</v>
      </c>
      <c r="H153" s="3">
        <f>SUM(H5:H79)</f>
        <v>507198</v>
      </c>
      <c r="I153" s="3">
        <f>SUM(I5:I78)</f>
        <v>520308</v>
      </c>
      <c r="J153" s="3">
        <f>SUM(J5:J78)</f>
        <v>0</v>
      </c>
    </row>
    <row r="154" spans="1:10" x14ac:dyDescent="0.2">
      <c r="A154" s="348" t="s">
        <v>1024</v>
      </c>
      <c r="E154" s="3">
        <f t="shared" ref="E154:J154" si="3">SUM(E80:E142)</f>
        <v>72163</v>
      </c>
      <c r="F154" s="3">
        <f t="shared" si="3"/>
        <v>86120</v>
      </c>
      <c r="G154" s="3">
        <f>SUM(G80:G142)</f>
        <v>87725</v>
      </c>
      <c r="H154" s="3">
        <f>SUM(H80:H142)</f>
        <v>87725</v>
      </c>
      <c r="I154" s="3">
        <f>SUM(I80:I142)</f>
        <v>87725</v>
      </c>
      <c r="J154" s="3">
        <f t="shared" si="3"/>
        <v>0</v>
      </c>
    </row>
    <row r="155" spans="1:10" ht="15" x14ac:dyDescent="0.35">
      <c r="A155" s="348" t="s">
        <v>1025</v>
      </c>
      <c r="E155" s="14">
        <f t="shared" ref="E155:J155" si="4">SUM(E143:E146)</f>
        <v>1375</v>
      </c>
      <c r="F155" s="14">
        <f t="shared" si="4"/>
        <v>3000</v>
      </c>
      <c r="G155" s="14">
        <f t="shared" si="4"/>
        <v>3000</v>
      </c>
      <c r="H155" s="14">
        <f t="shared" ref="H155" si="5">SUM(H143:H146)</f>
        <v>3000</v>
      </c>
      <c r="I155" s="14">
        <f t="shared" si="4"/>
        <v>3000</v>
      </c>
      <c r="J155" s="14">
        <f t="shared" si="4"/>
        <v>0</v>
      </c>
    </row>
    <row r="156" spans="1:10" x14ac:dyDescent="0.2">
      <c r="A156" s="348" t="s">
        <v>1320</v>
      </c>
      <c r="E156" s="3">
        <f t="shared" ref="E156:J156" si="6">SUM(E153:E155)</f>
        <v>565281</v>
      </c>
      <c r="F156" s="3">
        <f t="shared" si="6"/>
        <v>648816</v>
      </c>
      <c r="G156" s="3">
        <f>SUM(G153:G155)</f>
        <v>584701</v>
      </c>
      <c r="H156" s="3">
        <f>SUM(H153:H155)</f>
        <v>597923</v>
      </c>
      <c r="I156" s="3">
        <f>SUM(I153:I155)</f>
        <v>611033</v>
      </c>
      <c r="J156" s="3">
        <f t="shared" si="6"/>
        <v>0</v>
      </c>
    </row>
    <row r="157" spans="1:10" x14ac:dyDescent="0.2">
      <c r="H157" s="475"/>
      <c r="I157" s="413"/>
    </row>
    <row r="158" spans="1:10" x14ac:dyDescent="0.2">
      <c r="H158" s="475"/>
      <c r="I158" s="413"/>
      <c r="J158" s="230">
        <v>13110</v>
      </c>
    </row>
    <row r="159" spans="1:10" x14ac:dyDescent="0.2">
      <c r="H159" s="475"/>
      <c r="I159" s="3">
        <f>+I156-H156</f>
        <v>13110</v>
      </c>
      <c r="J159" s="3">
        <f>J156-H156</f>
        <v>-597923</v>
      </c>
    </row>
    <row r="160" spans="1:10" x14ac:dyDescent="0.2">
      <c r="H160" s="475"/>
      <c r="I160" s="413"/>
      <c r="J160" s="3">
        <f>J158-J159</f>
        <v>611033</v>
      </c>
    </row>
    <row r="161" spans="8:9" x14ac:dyDescent="0.2">
      <c r="H161" s="475"/>
      <c r="I161" s="413"/>
    </row>
    <row r="162" spans="8:9" x14ac:dyDescent="0.2">
      <c r="H162" s="475"/>
      <c r="I162" s="413"/>
    </row>
    <row r="163" spans="8:9" x14ac:dyDescent="0.2">
      <c r="H163" s="475"/>
      <c r="I163" s="413"/>
    </row>
    <row r="164" spans="8:9" x14ac:dyDescent="0.2">
      <c r="H164" s="475"/>
      <c r="I164" s="413"/>
    </row>
    <row r="165" spans="8:9" x14ac:dyDescent="0.2">
      <c r="H165" s="475"/>
      <c r="I165" s="413"/>
    </row>
    <row r="166" spans="8:9" x14ac:dyDescent="0.2">
      <c r="H166" s="475"/>
      <c r="I166" s="413"/>
    </row>
    <row r="167" spans="8:9" x14ac:dyDescent="0.2">
      <c r="H167" s="475"/>
      <c r="I167" s="413"/>
    </row>
    <row r="168" spans="8:9" x14ac:dyDescent="0.2">
      <c r="H168" s="475"/>
      <c r="I168" s="413"/>
    </row>
    <row r="169" spans="8:9" x14ac:dyDescent="0.2">
      <c r="H169" s="475"/>
      <c r="I169" s="413"/>
    </row>
    <row r="170" spans="8:9" x14ac:dyDescent="0.2">
      <c r="H170" s="475"/>
      <c r="I170" s="413"/>
    </row>
    <row r="171" spans="8:9" x14ac:dyDescent="0.2">
      <c r="H171" s="475"/>
      <c r="I171" s="413"/>
    </row>
    <row r="172" spans="8:9" x14ac:dyDescent="0.2">
      <c r="H172" s="475"/>
      <c r="I172" s="413"/>
    </row>
    <row r="173" spans="8:9" x14ac:dyDescent="0.2">
      <c r="H173" s="475"/>
      <c r="I173" s="413"/>
    </row>
    <row r="174" spans="8:9" x14ac:dyDescent="0.2">
      <c r="H174" s="475"/>
      <c r="I174" s="413"/>
    </row>
    <row r="175" spans="8:9" x14ac:dyDescent="0.2">
      <c r="I175" s="413"/>
    </row>
    <row r="176" spans="8:9" x14ac:dyDescent="0.2">
      <c r="I176" s="413"/>
    </row>
    <row r="177" spans="9:9" x14ac:dyDescent="0.2">
      <c r="I177" s="413"/>
    </row>
    <row r="178" spans="9:9" x14ac:dyDescent="0.2">
      <c r="I178" s="413"/>
    </row>
    <row r="179" spans="9:9" x14ac:dyDescent="0.2">
      <c r="I179" s="413"/>
    </row>
    <row r="180" spans="9:9" x14ac:dyDescent="0.2">
      <c r="I180" s="413"/>
    </row>
    <row r="181" spans="9:9" x14ac:dyDescent="0.2">
      <c r="I181" s="413"/>
    </row>
    <row r="182" spans="9:9" x14ac:dyDescent="0.2">
      <c r="I182" s="413"/>
    </row>
    <row r="183" spans="9:9" x14ac:dyDescent="0.2">
      <c r="I183" s="413"/>
    </row>
    <row r="184" spans="9:9" x14ac:dyDescent="0.2">
      <c r="I184" s="413"/>
    </row>
    <row r="185" spans="9:9" x14ac:dyDescent="0.2">
      <c r="I185" s="413"/>
    </row>
    <row r="186" spans="9:9" x14ac:dyDescent="0.2">
      <c r="I186" s="413"/>
    </row>
    <row r="187" spans="9:9" x14ac:dyDescent="0.2">
      <c r="I187" s="413"/>
    </row>
    <row r="188" spans="9:9" x14ac:dyDescent="0.2">
      <c r="I188" s="413"/>
    </row>
    <row r="189" spans="9:9" x14ac:dyDescent="0.2">
      <c r="I189" s="413"/>
    </row>
    <row r="190" spans="9:9" x14ac:dyDescent="0.2">
      <c r="I190" s="413"/>
    </row>
    <row r="191" spans="9:9" x14ac:dyDescent="0.2">
      <c r="I191" s="413"/>
    </row>
    <row r="192" spans="9:9" x14ac:dyDescent="0.2">
      <c r="I192" s="413"/>
    </row>
    <row r="193" spans="9:9" x14ac:dyDescent="0.2">
      <c r="I193" s="413"/>
    </row>
    <row r="194" spans="9:9" x14ac:dyDescent="0.2">
      <c r="I194" s="413"/>
    </row>
    <row r="195" spans="9:9" x14ac:dyDescent="0.2">
      <c r="I195" s="413"/>
    </row>
    <row r="196" spans="9:9" x14ac:dyDescent="0.2">
      <c r="I196" s="413"/>
    </row>
    <row r="197" spans="9:9" x14ac:dyDescent="0.2">
      <c r="I197" s="413"/>
    </row>
    <row r="198" spans="9:9" x14ac:dyDescent="0.2">
      <c r="I198" s="413"/>
    </row>
    <row r="199" spans="9:9" x14ac:dyDescent="0.2">
      <c r="I199" s="413"/>
    </row>
    <row r="200" spans="9:9" x14ac:dyDescent="0.2">
      <c r="I200" s="413"/>
    </row>
    <row r="201" spans="9:9" x14ac:dyDescent="0.2">
      <c r="I201" s="413"/>
    </row>
    <row r="202" spans="9:9" x14ac:dyDescent="0.2">
      <c r="I202" s="413"/>
    </row>
    <row r="203" spans="9:9" x14ac:dyDescent="0.2">
      <c r="I203" s="413"/>
    </row>
    <row r="204" spans="9:9" x14ac:dyDescent="0.2">
      <c r="I204" s="413"/>
    </row>
    <row r="205" spans="9:9" x14ac:dyDescent="0.2">
      <c r="I205" s="413"/>
    </row>
    <row r="206" spans="9:9" x14ac:dyDescent="0.2">
      <c r="I206" s="413"/>
    </row>
    <row r="207" spans="9:9" x14ac:dyDescent="0.2">
      <c r="I207" s="413"/>
    </row>
    <row r="208" spans="9:9" x14ac:dyDescent="0.2">
      <c r="I208" s="413"/>
    </row>
    <row r="209" spans="9:9" x14ac:dyDescent="0.2">
      <c r="I209" s="413"/>
    </row>
    <row r="210" spans="9:9" x14ac:dyDescent="0.2">
      <c r="I210" s="413"/>
    </row>
    <row r="211" spans="9:9" x14ac:dyDescent="0.2">
      <c r="I211" s="413"/>
    </row>
    <row r="212" spans="9:9" x14ac:dyDescent="0.2">
      <c r="I212" s="413"/>
    </row>
    <row r="213" spans="9:9" x14ac:dyDescent="0.2">
      <c r="I213" s="413"/>
    </row>
    <row r="214" spans="9:9" x14ac:dyDescent="0.2">
      <c r="I214" s="413"/>
    </row>
    <row r="215" spans="9:9" x14ac:dyDescent="0.2">
      <c r="I215" s="413"/>
    </row>
    <row r="216" spans="9:9" x14ac:dyDescent="0.2">
      <c r="I216" s="413"/>
    </row>
    <row r="217" spans="9:9" x14ac:dyDescent="0.2">
      <c r="I217" s="413"/>
    </row>
    <row r="218" spans="9:9" x14ac:dyDescent="0.2">
      <c r="I218" s="413"/>
    </row>
    <row r="219" spans="9:9" x14ac:dyDescent="0.2">
      <c r="I219" s="413"/>
    </row>
    <row r="220" spans="9:9" x14ac:dyDescent="0.2">
      <c r="I220" s="413"/>
    </row>
    <row r="221" spans="9:9" x14ac:dyDescent="0.2">
      <c r="I221" s="413"/>
    </row>
    <row r="222" spans="9:9" x14ac:dyDescent="0.2">
      <c r="I222" s="413"/>
    </row>
    <row r="223" spans="9:9" x14ac:dyDescent="0.2">
      <c r="I223" s="413"/>
    </row>
    <row r="224" spans="9:9" x14ac:dyDescent="0.2">
      <c r="I224" s="413"/>
    </row>
    <row r="225" spans="9:9" x14ac:dyDescent="0.2">
      <c r="I225" s="413"/>
    </row>
    <row r="226" spans="9:9" x14ac:dyDescent="0.2">
      <c r="I226" s="413"/>
    </row>
    <row r="227" spans="9:9" x14ac:dyDescent="0.2">
      <c r="I227" s="413"/>
    </row>
    <row r="228" spans="9:9" x14ac:dyDescent="0.2">
      <c r="I228" s="413"/>
    </row>
    <row r="229" spans="9:9" x14ac:dyDescent="0.2">
      <c r="I229" s="413"/>
    </row>
    <row r="230" spans="9:9" x14ac:dyDescent="0.2">
      <c r="I230" s="413"/>
    </row>
    <row r="231" spans="9:9" x14ac:dyDescent="0.2">
      <c r="I231" s="413"/>
    </row>
    <row r="232" spans="9:9" x14ac:dyDescent="0.2">
      <c r="I232" s="413"/>
    </row>
    <row r="233" spans="9:9" x14ac:dyDescent="0.2">
      <c r="I233" s="413"/>
    </row>
    <row r="234" spans="9:9" x14ac:dyDescent="0.2">
      <c r="I234" s="413"/>
    </row>
    <row r="235" spans="9:9" x14ac:dyDescent="0.2">
      <c r="I235" s="413"/>
    </row>
    <row r="236" spans="9:9" x14ac:dyDescent="0.2">
      <c r="I236" s="413"/>
    </row>
    <row r="237" spans="9:9" x14ac:dyDescent="0.2">
      <c r="I237" s="413"/>
    </row>
    <row r="238" spans="9:9" x14ac:dyDescent="0.2">
      <c r="I238" s="413"/>
    </row>
    <row r="239" spans="9:9" x14ac:dyDescent="0.2">
      <c r="I239" s="413"/>
    </row>
    <row r="240" spans="9:9" x14ac:dyDescent="0.2">
      <c r="I240" s="413"/>
    </row>
    <row r="241" spans="9:9" x14ac:dyDescent="0.2">
      <c r="I241" s="413"/>
    </row>
    <row r="242" spans="9:9" x14ac:dyDescent="0.2">
      <c r="I242" s="413"/>
    </row>
    <row r="243" spans="9:9" x14ac:dyDescent="0.2">
      <c r="I243" s="413"/>
    </row>
    <row r="244" spans="9:9" x14ac:dyDescent="0.2">
      <c r="I244" s="413"/>
    </row>
    <row r="245" spans="9:9" x14ac:dyDescent="0.2">
      <c r="I245" s="413"/>
    </row>
    <row r="246" spans="9:9" x14ac:dyDescent="0.2">
      <c r="I246" s="413"/>
    </row>
    <row r="247" spans="9:9" x14ac:dyDescent="0.2">
      <c r="I247" s="413"/>
    </row>
    <row r="248" spans="9:9" x14ac:dyDescent="0.2">
      <c r="I248" s="413"/>
    </row>
    <row r="249" spans="9:9" x14ac:dyDescent="0.2">
      <c r="I249" s="413"/>
    </row>
    <row r="250" spans="9:9" x14ac:dyDescent="0.2">
      <c r="I250" s="413"/>
    </row>
  </sheetData>
  <mergeCells count="1">
    <mergeCell ref="A1:J1"/>
  </mergeCells>
  <phoneticPr fontId="0" type="noConversion"/>
  <printOptions gridLines="1"/>
  <pageMargins left="0.75" right="0.16" top="0.51" bottom="0.22" header="0.5" footer="0"/>
  <pageSetup scale="85" fitToHeight="3" orientation="landscape" r:id="rId1"/>
  <headerFooter alignWithMargins="0"/>
  <rowBreaks count="2" manualBreakCount="2">
    <brk id="60" max="9" man="1"/>
    <brk id="115" max="9"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68"/>
  <sheetViews>
    <sheetView view="pageBreakPreview" zoomScaleNormal="100" zoomScaleSheetLayoutView="100" workbookViewId="0">
      <pane ySplit="5" topLeftCell="A64" activePane="bottomLeft" state="frozen"/>
      <selection activeCell="D43" sqref="D43"/>
      <selection pane="bottomLeft" activeCell="J90" sqref="J90"/>
    </sheetView>
  </sheetViews>
  <sheetFormatPr defaultColWidth="8.85546875" defaultRowHeight="12.75" x14ac:dyDescent="0.2"/>
  <cols>
    <col min="1" max="1" width="55" style="348" customWidth="1"/>
    <col min="2" max="2" width="7.7109375" style="348" bestFit="1" customWidth="1"/>
    <col min="3" max="4" width="9" style="348" bestFit="1" customWidth="1"/>
    <col min="5" max="5" width="9.5703125" style="348" bestFit="1" customWidth="1"/>
    <col min="6" max="7" width="9" style="348" bestFit="1" customWidth="1"/>
    <col min="8" max="8" width="10.28515625" style="348" customWidth="1"/>
    <col min="9" max="9" width="12.140625" style="3" customWidth="1"/>
    <col min="10" max="10" width="9.42578125" style="348" bestFit="1" customWidth="1"/>
    <col min="11" max="11" width="9" style="348" bestFit="1" customWidth="1"/>
    <col min="12" max="12" width="0" style="348" hidden="1" customWidth="1"/>
    <col min="13" max="16384" width="8.85546875" style="348"/>
  </cols>
  <sheetData>
    <row r="1" spans="1:11" x14ac:dyDescent="0.2">
      <c r="A1" s="562" t="str">
        <f>'SUMMARY BY FUND'!A1:J1</f>
        <v>2023-24 BUDGET</v>
      </c>
      <c r="B1" s="563"/>
      <c r="C1" s="563"/>
      <c r="D1" s="563"/>
      <c r="E1" s="563"/>
      <c r="F1" s="563"/>
      <c r="G1" s="563"/>
      <c r="H1" s="563"/>
      <c r="I1" s="563"/>
      <c r="J1" s="563"/>
    </row>
    <row r="2" spans="1:11" ht="18.75" x14ac:dyDescent="0.3">
      <c r="A2" s="202" t="s">
        <v>1885</v>
      </c>
      <c r="B2" s="202"/>
      <c r="C2" s="202"/>
      <c r="D2" s="202"/>
      <c r="E2" s="202"/>
      <c r="F2" s="202"/>
      <c r="G2" s="202"/>
    </row>
    <row r="3" spans="1:11" x14ac:dyDescent="0.2">
      <c r="B3" s="3"/>
      <c r="C3" s="3"/>
      <c r="D3" s="3"/>
      <c r="E3" s="3"/>
      <c r="F3" s="3"/>
      <c r="G3" s="3"/>
    </row>
    <row r="4" spans="1:11" x14ac:dyDescent="0.2">
      <c r="B4" s="3"/>
      <c r="C4" s="3"/>
      <c r="D4" s="3"/>
      <c r="E4" s="3"/>
      <c r="F4" s="19" t="s">
        <v>250</v>
      </c>
      <c r="G4" s="19" t="s">
        <v>251</v>
      </c>
      <c r="H4" s="19" t="s">
        <v>68</v>
      </c>
      <c r="I4" s="19" t="s">
        <v>432</v>
      </c>
      <c r="J4" s="19" t="s">
        <v>338</v>
      </c>
      <c r="K4" s="19" t="s">
        <v>370</v>
      </c>
    </row>
    <row r="5" spans="1:11" ht="15" x14ac:dyDescent="0.35">
      <c r="B5" s="3"/>
      <c r="C5" s="3"/>
      <c r="D5" s="3"/>
      <c r="E5" s="3"/>
      <c r="F5" s="419" t="s">
        <v>2163</v>
      </c>
      <c r="G5" s="419" t="s">
        <v>2290</v>
      </c>
      <c r="H5" s="419" t="s">
        <v>2507</v>
      </c>
      <c r="I5" s="419" t="s">
        <v>2507</v>
      </c>
      <c r="J5" s="419" t="s">
        <v>2507</v>
      </c>
      <c r="K5" s="419" t="s">
        <v>2507</v>
      </c>
    </row>
    <row r="6" spans="1:11" ht="13.5" x14ac:dyDescent="0.25">
      <c r="A6" s="350" t="s">
        <v>689</v>
      </c>
      <c r="B6" s="3"/>
      <c r="C6" s="3"/>
      <c r="D6" s="3"/>
      <c r="E6" s="3"/>
      <c r="F6" s="3">
        <v>43949</v>
      </c>
      <c r="G6" s="3">
        <v>42675</v>
      </c>
      <c r="H6" s="3">
        <v>41845</v>
      </c>
      <c r="I6" s="3">
        <v>41845</v>
      </c>
      <c r="J6" s="3">
        <v>43299</v>
      </c>
      <c r="K6" s="3"/>
    </row>
    <row r="7" spans="1:11" x14ac:dyDescent="0.2">
      <c r="A7" s="348" t="s">
        <v>2075</v>
      </c>
      <c r="B7" s="432"/>
      <c r="C7" s="3">
        <v>1456</v>
      </c>
      <c r="D7" s="177">
        <v>29.538499999999999</v>
      </c>
      <c r="E7" s="3">
        <f>+D7*C7</f>
        <v>43008.055999999997</v>
      </c>
      <c r="F7" s="3"/>
      <c r="G7" s="3"/>
      <c r="H7" s="3"/>
      <c r="J7" s="3"/>
      <c r="K7" s="3"/>
    </row>
    <row r="8" spans="1:11" ht="15" x14ac:dyDescent="0.35">
      <c r="A8" s="348" t="s">
        <v>1739</v>
      </c>
      <c r="B8" s="3"/>
      <c r="C8" s="3"/>
      <c r="D8" s="15"/>
      <c r="E8" s="14">
        <v>291</v>
      </c>
      <c r="F8" s="3"/>
      <c r="G8" s="3"/>
      <c r="H8" s="3"/>
      <c r="J8" s="3"/>
      <c r="K8" s="3"/>
    </row>
    <row r="9" spans="1:11" x14ac:dyDescent="0.2">
      <c r="B9" s="3"/>
      <c r="C9" s="3"/>
      <c r="D9" s="15"/>
      <c r="E9" s="3">
        <f>SUM(E7:E8)</f>
        <v>43299.055999999997</v>
      </c>
      <c r="F9" s="3"/>
      <c r="G9" s="3"/>
      <c r="H9" s="3"/>
      <c r="J9" s="3"/>
      <c r="K9" s="3"/>
    </row>
    <row r="10" spans="1:11" x14ac:dyDescent="0.2">
      <c r="B10" s="3"/>
      <c r="C10" s="3"/>
      <c r="D10" s="15"/>
      <c r="E10" s="3"/>
      <c r="F10" s="3"/>
      <c r="G10" s="3"/>
      <c r="H10" s="3"/>
      <c r="J10" s="3"/>
      <c r="K10" s="3"/>
    </row>
    <row r="11" spans="1:11" ht="13.5" x14ac:dyDescent="0.25">
      <c r="A11" s="350" t="s">
        <v>729</v>
      </c>
      <c r="C11" s="371"/>
      <c r="D11" s="371"/>
      <c r="E11" s="3"/>
      <c r="F11" s="3">
        <v>3362</v>
      </c>
      <c r="G11" s="3">
        <v>3265</v>
      </c>
      <c r="H11" s="3">
        <v>3201</v>
      </c>
      <c r="I11" s="3">
        <v>3201</v>
      </c>
      <c r="J11" s="3">
        <v>3312</v>
      </c>
      <c r="K11" s="3"/>
    </row>
    <row r="12" spans="1:11" x14ac:dyDescent="0.2">
      <c r="A12" s="348" t="s">
        <v>730</v>
      </c>
      <c r="B12" s="3"/>
      <c r="C12" s="3">
        <f>+E9</f>
        <v>43299.055999999997</v>
      </c>
      <c r="D12" s="17">
        <v>7.6499999999999999E-2</v>
      </c>
      <c r="E12" s="3">
        <f>ROUND(D12*C12,0)</f>
        <v>3312</v>
      </c>
      <c r="F12" s="3"/>
      <c r="G12" s="3"/>
      <c r="H12" s="3"/>
      <c r="J12" s="3"/>
      <c r="K12" s="3"/>
    </row>
    <row r="13" spans="1:11" x14ac:dyDescent="0.2">
      <c r="C13" s="371"/>
      <c r="D13" s="371"/>
      <c r="E13" s="3"/>
      <c r="F13" s="3"/>
      <c r="G13" s="3"/>
      <c r="H13" s="3"/>
      <c r="J13" s="3"/>
      <c r="K13" s="3"/>
    </row>
    <row r="14" spans="1:11" ht="13.5" x14ac:dyDescent="0.25">
      <c r="A14" s="350" t="s">
        <v>731</v>
      </c>
      <c r="C14" s="371"/>
      <c r="D14" s="371"/>
      <c r="E14" s="3"/>
      <c r="F14" s="3">
        <v>62</v>
      </c>
      <c r="G14" s="3">
        <v>74</v>
      </c>
      <c r="H14" s="3">
        <v>79</v>
      </c>
      <c r="I14" s="3">
        <v>79</v>
      </c>
      <c r="J14" s="3">
        <v>82</v>
      </c>
      <c r="K14" s="3"/>
    </row>
    <row r="15" spans="1:11" x14ac:dyDescent="0.2">
      <c r="A15" s="491" t="s">
        <v>730</v>
      </c>
      <c r="B15" s="3"/>
      <c r="C15" s="3">
        <f>+E9</f>
        <v>43299.055999999997</v>
      </c>
      <c r="D15" s="17">
        <v>1.89E-3</v>
      </c>
      <c r="E15" s="3">
        <f>ROUND(D15*C15,0)</f>
        <v>82</v>
      </c>
      <c r="F15" s="3"/>
      <c r="G15" s="3"/>
      <c r="H15" s="3"/>
      <c r="J15" s="3"/>
      <c r="K15" s="3"/>
    </row>
    <row r="16" spans="1:11" x14ac:dyDescent="0.2">
      <c r="A16" s="491"/>
      <c r="B16" s="491"/>
      <c r="C16" s="491"/>
      <c r="D16" s="491"/>
      <c r="E16" s="3"/>
      <c r="F16" s="3"/>
      <c r="G16" s="3"/>
      <c r="H16" s="3"/>
      <c r="J16" s="3"/>
      <c r="K16" s="3"/>
    </row>
    <row r="17" spans="1:11" ht="13.5" x14ac:dyDescent="0.25">
      <c r="A17" s="494" t="s">
        <v>732</v>
      </c>
      <c r="B17" s="491"/>
      <c r="C17" s="491"/>
      <c r="D17" s="491"/>
      <c r="E17" s="3"/>
      <c r="F17" s="3">
        <v>10</v>
      </c>
      <c r="G17" s="3">
        <v>20</v>
      </c>
      <c r="H17" s="3">
        <v>20</v>
      </c>
      <c r="I17" s="3">
        <v>20</v>
      </c>
      <c r="J17" s="3">
        <v>20</v>
      </c>
      <c r="K17" s="3"/>
    </row>
    <row r="18" spans="1:11" hidden="1" x14ac:dyDescent="0.2">
      <c r="A18" s="491" t="s">
        <v>730</v>
      </c>
      <c r="B18" s="3" t="s">
        <v>418</v>
      </c>
      <c r="C18" s="3" t="s">
        <v>418</v>
      </c>
      <c r="D18" s="17" t="s">
        <v>418</v>
      </c>
      <c r="E18" s="3">
        <v>20</v>
      </c>
      <c r="F18" s="3"/>
      <c r="G18" s="3"/>
      <c r="H18" s="3"/>
      <c r="J18" s="3"/>
      <c r="K18" s="3"/>
    </row>
    <row r="19" spans="1:11" x14ac:dyDescent="0.2">
      <c r="A19" s="491"/>
      <c r="B19" s="491"/>
      <c r="C19" s="491"/>
      <c r="D19" s="491"/>
      <c r="E19" s="3"/>
      <c r="F19" s="3"/>
      <c r="G19" s="3"/>
      <c r="H19" s="3"/>
      <c r="J19" s="3"/>
      <c r="K19" s="3"/>
    </row>
    <row r="20" spans="1:11" ht="13.5" x14ac:dyDescent="0.25">
      <c r="A20" s="494" t="s">
        <v>733</v>
      </c>
      <c r="B20" s="491"/>
      <c r="C20" s="22" t="s">
        <v>2163</v>
      </c>
      <c r="D20" s="22" t="s">
        <v>2290</v>
      </c>
      <c r="E20" s="22" t="s">
        <v>2507</v>
      </c>
      <c r="F20" s="3">
        <v>194</v>
      </c>
      <c r="G20" s="3">
        <v>270</v>
      </c>
      <c r="H20" s="3">
        <v>270</v>
      </c>
      <c r="I20" s="3">
        <v>270</v>
      </c>
      <c r="J20" s="3">
        <v>270</v>
      </c>
      <c r="K20" s="3"/>
    </row>
    <row r="21" spans="1:11" x14ac:dyDescent="0.2">
      <c r="A21" s="491" t="s">
        <v>377</v>
      </c>
      <c r="B21" s="491"/>
      <c r="C21" s="3">
        <v>270</v>
      </c>
      <c r="D21" s="3">
        <v>270</v>
      </c>
      <c r="E21" s="3">
        <v>270</v>
      </c>
      <c r="F21" s="3"/>
      <c r="G21" s="3"/>
      <c r="H21" s="3"/>
      <c r="J21" s="3"/>
      <c r="K21" s="3"/>
    </row>
    <row r="22" spans="1:11" x14ac:dyDescent="0.2">
      <c r="A22" s="491"/>
      <c r="B22" s="491"/>
      <c r="C22" s="3"/>
      <c r="D22" s="3"/>
      <c r="E22" s="3"/>
      <c r="F22" s="3"/>
      <c r="G22" s="3"/>
      <c r="H22" s="3"/>
      <c r="J22" s="3"/>
      <c r="K22" s="3"/>
    </row>
    <row r="23" spans="1:11" ht="13.5" x14ac:dyDescent="0.25">
      <c r="A23" s="494" t="s">
        <v>32</v>
      </c>
      <c r="B23" s="491"/>
      <c r="C23" s="22" t="s">
        <v>2163</v>
      </c>
      <c r="D23" s="22" t="s">
        <v>2290</v>
      </c>
      <c r="E23" s="22" t="s">
        <v>2507</v>
      </c>
      <c r="F23" s="3">
        <v>0</v>
      </c>
      <c r="G23" s="3">
        <v>50</v>
      </c>
      <c r="H23" s="3">
        <v>50</v>
      </c>
      <c r="I23" s="3">
        <v>50</v>
      </c>
      <c r="J23" s="3">
        <v>50</v>
      </c>
      <c r="K23" s="3"/>
    </row>
    <row r="24" spans="1:11" x14ac:dyDescent="0.2">
      <c r="A24" s="491" t="s">
        <v>2022</v>
      </c>
      <c r="B24" s="491"/>
      <c r="C24" s="3">
        <v>50</v>
      </c>
      <c r="D24" s="3">
        <v>50</v>
      </c>
      <c r="E24" s="3">
        <v>50</v>
      </c>
      <c r="F24" s="3"/>
      <c r="G24" s="3"/>
      <c r="H24" s="3"/>
      <c r="J24" s="3"/>
      <c r="K24" s="3"/>
    </row>
    <row r="25" spans="1:11" x14ac:dyDescent="0.2">
      <c r="A25" s="491"/>
      <c r="B25" s="491"/>
      <c r="C25" s="3"/>
      <c r="D25" s="3"/>
      <c r="E25" s="3"/>
      <c r="F25" s="3"/>
      <c r="G25" s="3"/>
      <c r="H25" s="3"/>
      <c r="J25" s="3"/>
      <c r="K25" s="3"/>
    </row>
    <row r="26" spans="1:11" ht="13.5" x14ac:dyDescent="0.25">
      <c r="A26" s="494" t="s">
        <v>1048</v>
      </c>
      <c r="B26" s="491"/>
      <c r="C26" s="22" t="s">
        <v>2163</v>
      </c>
      <c r="D26" s="22" t="s">
        <v>2290</v>
      </c>
      <c r="E26" s="22" t="s">
        <v>2507</v>
      </c>
      <c r="F26" s="3">
        <v>60</v>
      </c>
      <c r="G26" s="3">
        <v>100</v>
      </c>
      <c r="H26" s="3">
        <v>80</v>
      </c>
      <c r="I26" s="3">
        <v>80</v>
      </c>
      <c r="J26" s="3">
        <v>80</v>
      </c>
      <c r="K26" s="3"/>
    </row>
    <row r="27" spans="1:11" x14ac:dyDescent="0.2">
      <c r="A27" s="491" t="s">
        <v>1049</v>
      </c>
      <c r="B27" s="3" t="s">
        <v>418</v>
      </c>
      <c r="C27" s="3">
        <v>100</v>
      </c>
      <c r="D27" s="3">
        <v>100</v>
      </c>
      <c r="E27" s="3">
        <v>80</v>
      </c>
      <c r="F27" s="3"/>
      <c r="G27" s="3"/>
      <c r="H27" s="3"/>
      <c r="J27" s="3"/>
      <c r="K27" s="3"/>
    </row>
    <row r="28" spans="1:11" x14ac:dyDescent="0.2">
      <c r="A28" s="491"/>
      <c r="B28" s="3"/>
      <c r="C28" s="3"/>
      <c r="D28" s="3"/>
      <c r="E28" s="3"/>
      <c r="F28" s="3"/>
      <c r="G28" s="3"/>
      <c r="H28" s="3"/>
      <c r="J28" s="3"/>
      <c r="K28" s="3"/>
    </row>
    <row r="29" spans="1:11" ht="13.5" x14ac:dyDescent="0.25">
      <c r="A29" s="494" t="s">
        <v>497</v>
      </c>
      <c r="B29" s="491"/>
      <c r="C29" s="22" t="s">
        <v>2163</v>
      </c>
      <c r="D29" s="22" t="s">
        <v>2290</v>
      </c>
      <c r="E29" s="22" t="s">
        <v>2507</v>
      </c>
      <c r="F29" s="3">
        <v>729</v>
      </c>
      <c r="G29" s="3">
        <v>910</v>
      </c>
      <c r="H29" s="3">
        <v>910</v>
      </c>
      <c r="I29" s="3">
        <v>910</v>
      </c>
      <c r="J29" s="3">
        <v>910</v>
      </c>
      <c r="K29" s="3"/>
    </row>
    <row r="30" spans="1:11" x14ac:dyDescent="0.2">
      <c r="A30" s="491" t="s">
        <v>1026</v>
      </c>
      <c r="B30" s="491"/>
      <c r="C30" s="3">
        <v>500</v>
      </c>
      <c r="D30" s="3">
        <v>430</v>
      </c>
      <c r="E30" s="3">
        <v>430</v>
      </c>
      <c r="F30" s="3"/>
      <c r="G30" s="3"/>
      <c r="H30" s="3"/>
      <c r="J30" s="3"/>
      <c r="K30" s="3"/>
    </row>
    <row r="31" spans="1:11" ht="15" x14ac:dyDescent="0.35">
      <c r="A31" s="491" t="s">
        <v>1082</v>
      </c>
      <c r="B31" s="491"/>
      <c r="C31" s="14">
        <v>480</v>
      </c>
      <c r="D31" s="14">
        <v>480</v>
      </c>
      <c r="E31" s="14">
        <v>480</v>
      </c>
      <c r="F31" s="3"/>
      <c r="G31" s="3"/>
      <c r="H31" s="3"/>
      <c r="J31" s="3"/>
      <c r="K31" s="3"/>
    </row>
    <row r="32" spans="1:11" x14ac:dyDescent="0.2">
      <c r="A32" s="491" t="s">
        <v>1320</v>
      </c>
      <c r="B32" s="491"/>
      <c r="C32" s="3">
        <f>SUM(C30:C31)</f>
        <v>980</v>
      </c>
      <c r="D32" s="3">
        <f>SUM(D30:D31)</f>
        <v>910</v>
      </c>
      <c r="E32" s="3">
        <f>SUM(E30:E31)</f>
        <v>910</v>
      </c>
      <c r="F32" s="3"/>
      <c r="G32" s="3"/>
      <c r="H32" s="3"/>
      <c r="J32" s="3"/>
      <c r="K32" s="3"/>
    </row>
    <row r="33" spans="1:11" x14ac:dyDescent="0.2">
      <c r="A33" s="491" t="s">
        <v>418</v>
      </c>
      <c r="B33" s="491"/>
      <c r="C33" s="3" t="s">
        <v>418</v>
      </c>
      <c r="D33" s="3" t="s">
        <v>418</v>
      </c>
      <c r="E33" s="22"/>
      <c r="F33" s="3"/>
      <c r="G33" s="3"/>
      <c r="H33" s="3"/>
      <c r="J33" s="3"/>
      <c r="K33" s="3"/>
    </row>
    <row r="34" spans="1:11" ht="13.5" x14ac:dyDescent="0.25">
      <c r="A34" s="494" t="s">
        <v>711</v>
      </c>
      <c r="B34" s="491"/>
      <c r="C34" s="22" t="s">
        <v>2163</v>
      </c>
      <c r="D34" s="22" t="s">
        <v>2290</v>
      </c>
      <c r="E34" s="22" t="s">
        <v>2507</v>
      </c>
      <c r="F34" s="3">
        <v>50</v>
      </c>
      <c r="G34" s="3">
        <v>50</v>
      </c>
      <c r="H34" s="3">
        <v>50</v>
      </c>
      <c r="I34" s="3">
        <v>50</v>
      </c>
      <c r="J34" s="3">
        <v>50</v>
      </c>
      <c r="K34" s="3"/>
    </row>
    <row r="35" spans="1:11" x14ac:dyDescent="0.2">
      <c r="A35" s="491" t="s">
        <v>452</v>
      </c>
      <c r="B35" s="3" t="s">
        <v>418</v>
      </c>
      <c r="C35" s="3">
        <v>50</v>
      </c>
      <c r="D35" s="3">
        <v>50</v>
      </c>
      <c r="E35" s="3">
        <v>50</v>
      </c>
      <c r="F35" s="3"/>
      <c r="G35" s="3"/>
      <c r="H35" s="3"/>
      <c r="J35" s="3"/>
      <c r="K35" s="3"/>
    </row>
    <row r="36" spans="1:11" x14ac:dyDescent="0.2">
      <c r="A36" s="491"/>
      <c r="B36" s="491"/>
      <c r="C36" s="3"/>
      <c r="D36" s="3"/>
      <c r="E36" s="3"/>
      <c r="F36" s="3"/>
      <c r="G36" s="3"/>
      <c r="H36" s="3"/>
      <c r="J36" s="3"/>
      <c r="K36" s="3"/>
    </row>
    <row r="37" spans="1:11" ht="13.5" x14ac:dyDescent="0.25">
      <c r="A37" s="20" t="s">
        <v>1559</v>
      </c>
      <c r="B37" s="491"/>
      <c r="C37" s="22" t="s">
        <v>2163</v>
      </c>
      <c r="D37" s="22" t="s">
        <v>2290</v>
      </c>
      <c r="E37" s="22" t="s">
        <v>2507</v>
      </c>
      <c r="F37" s="3">
        <v>382</v>
      </c>
      <c r="G37" s="3">
        <v>496</v>
      </c>
      <c r="H37" s="3">
        <v>521</v>
      </c>
      <c r="I37" s="3">
        <v>521</v>
      </c>
      <c r="J37" s="3">
        <v>521</v>
      </c>
      <c r="K37" s="3"/>
    </row>
    <row r="38" spans="1:11" x14ac:dyDescent="0.2">
      <c r="A38" s="491" t="s">
        <v>940</v>
      </c>
      <c r="B38" s="491"/>
      <c r="C38" s="491">
        <v>397</v>
      </c>
      <c r="D38" s="491">
        <v>496</v>
      </c>
      <c r="E38" s="491">
        <v>521</v>
      </c>
      <c r="F38" s="3"/>
      <c r="G38" s="3"/>
      <c r="H38" s="3"/>
      <c r="J38" s="3"/>
      <c r="K38" s="3"/>
    </row>
    <row r="39" spans="1:11" x14ac:dyDescent="0.2">
      <c r="A39" s="491"/>
      <c r="B39" s="491"/>
      <c r="C39" s="3"/>
      <c r="D39" s="3"/>
      <c r="E39" s="3"/>
      <c r="F39" s="3"/>
      <c r="G39" s="3"/>
      <c r="H39" s="3"/>
      <c r="J39" s="3"/>
      <c r="K39" s="3"/>
    </row>
    <row r="40" spans="1:11" ht="13.5" x14ac:dyDescent="0.25">
      <c r="A40" s="494" t="s">
        <v>1560</v>
      </c>
      <c r="B40" s="491"/>
      <c r="C40" s="22" t="s">
        <v>2163</v>
      </c>
      <c r="D40" s="22" t="s">
        <v>2290</v>
      </c>
      <c r="E40" s="22" t="s">
        <v>2507</v>
      </c>
      <c r="F40" s="3">
        <v>117</v>
      </c>
      <c r="G40" s="3">
        <v>600</v>
      </c>
      <c r="H40" s="3">
        <v>600</v>
      </c>
      <c r="I40" s="3">
        <v>600</v>
      </c>
      <c r="J40" s="3">
        <v>600</v>
      </c>
      <c r="K40" s="3"/>
    </row>
    <row r="41" spans="1:11" x14ac:dyDescent="0.2">
      <c r="A41" s="491" t="s">
        <v>325</v>
      </c>
      <c r="B41" s="491"/>
      <c r="C41" s="3">
        <v>600</v>
      </c>
      <c r="D41" s="3">
        <v>600</v>
      </c>
      <c r="E41" s="3">
        <v>600</v>
      </c>
      <c r="F41" s="3"/>
      <c r="G41" s="3"/>
      <c r="H41" s="3"/>
      <c r="J41" s="3"/>
      <c r="K41" s="3"/>
    </row>
    <row r="42" spans="1:11" x14ac:dyDescent="0.2">
      <c r="A42" s="491"/>
      <c r="B42" s="491"/>
      <c r="C42" s="491"/>
      <c r="D42" s="3"/>
      <c r="E42" s="3"/>
      <c r="F42" s="3"/>
      <c r="G42" s="3"/>
      <c r="H42" s="3"/>
      <c r="J42" s="3"/>
      <c r="K42" s="3"/>
    </row>
    <row r="43" spans="1:11" ht="13.5" x14ac:dyDescent="0.25">
      <c r="A43" s="494" t="s">
        <v>629</v>
      </c>
      <c r="B43" s="491"/>
      <c r="C43" s="491"/>
      <c r="D43" s="3"/>
      <c r="E43" s="3"/>
      <c r="F43" s="3">
        <v>1500</v>
      </c>
      <c r="G43" s="3">
        <v>1500</v>
      </c>
      <c r="H43" s="3">
        <v>1700</v>
      </c>
      <c r="I43" s="3">
        <v>1700</v>
      </c>
      <c r="J43" s="3">
        <v>1700</v>
      </c>
      <c r="K43" s="3"/>
    </row>
    <row r="44" spans="1:11" x14ac:dyDescent="0.2">
      <c r="A44" s="27" t="s">
        <v>1689</v>
      </c>
      <c r="B44" s="491"/>
      <c r="C44" s="491"/>
      <c r="D44" s="3"/>
      <c r="E44" s="3">
        <v>1700</v>
      </c>
      <c r="F44" s="3"/>
      <c r="G44" s="3"/>
      <c r="H44" s="3"/>
      <c r="J44" s="3"/>
      <c r="K44" s="3"/>
    </row>
    <row r="45" spans="1:11" x14ac:dyDescent="0.2">
      <c r="A45" s="27"/>
      <c r="B45" s="491"/>
      <c r="C45" s="491"/>
      <c r="D45" s="3"/>
      <c r="E45" s="3"/>
      <c r="F45" s="3"/>
      <c r="G45" s="3"/>
      <c r="H45" s="3"/>
      <c r="J45" s="3"/>
      <c r="K45" s="3"/>
    </row>
    <row r="46" spans="1:11" ht="13.5" x14ac:dyDescent="0.25">
      <c r="A46" s="494" t="s">
        <v>550</v>
      </c>
      <c r="B46" s="491"/>
      <c r="C46" s="22" t="s">
        <v>2163</v>
      </c>
      <c r="D46" s="22" t="s">
        <v>2290</v>
      </c>
      <c r="E46" s="22" t="s">
        <v>2507</v>
      </c>
      <c r="F46" s="3">
        <v>105</v>
      </c>
      <c r="G46" s="3">
        <v>185</v>
      </c>
      <c r="H46" s="3">
        <v>290</v>
      </c>
      <c r="I46" s="3">
        <v>290</v>
      </c>
      <c r="J46" s="3">
        <v>290</v>
      </c>
      <c r="K46" s="3"/>
    </row>
    <row r="47" spans="1:11" x14ac:dyDescent="0.2">
      <c r="A47" s="491" t="s">
        <v>520</v>
      </c>
      <c r="B47" s="491"/>
      <c r="C47" s="3">
        <v>90</v>
      </c>
      <c r="D47" s="3">
        <v>90</v>
      </c>
      <c r="E47" s="3">
        <v>135</v>
      </c>
      <c r="F47" s="3"/>
      <c r="G47" s="3"/>
      <c r="H47" s="3"/>
      <c r="J47" s="3"/>
      <c r="K47" s="3"/>
    </row>
    <row r="48" spans="1:11" ht="15" x14ac:dyDescent="0.35">
      <c r="A48" s="491" t="s">
        <v>2556</v>
      </c>
      <c r="B48" s="491"/>
      <c r="C48" s="14">
        <v>95</v>
      </c>
      <c r="D48" s="14">
        <v>95</v>
      </c>
      <c r="E48" s="14">
        <v>155</v>
      </c>
      <c r="F48" s="3"/>
      <c r="G48" s="3"/>
      <c r="H48" s="3"/>
      <c r="J48" s="3"/>
      <c r="K48" s="3"/>
    </row>
    <row r="49" spans="1:11" x14ac:dyDescent="0.2">
      <c r="A49" s="491" t="s">
        <v>1320</v>
      </c>
      <c r="B49" s="491"/>
      <c r="C49" s="3">
        <f>SUM(C47:C48)</f>
        <v>185</v>
      </c>
      <c r="D49" s="3">
        <f>SUM(D47:D48)</f>
        <v>185</v>
      </c>
      <c r="E49" s="3">
        <f>SUM(E47:E48)</f>
        <v>290</v>
      </c>
      <c r="F49" s="3"/>
      <c r="G49" s="3"/>
      <c r="H49" s="3"/>
      <c r="J49" s="3"/>
      <c r="K49" s="3"/>
    </row>
    <row r="50" spans="1:11" x14ac:dyDescent="0.2">
      <c r="A50" s="491"/>
      <c r="B50" s="491"/>
      <c r="C50" s="3"/>
      <c r="D50" s="3"/>
      <c r="E50" s="3"/>
      <c r="F50" s="3"/>
      <c r="G50" s="3"/>
      <c r="H50" s="3"/>
      <c r="J50" s="3"/>
      <c r="K50" s="3"/>
    </row>
    <row r="51" spans="1:11" ht="13.5" x14ac:dyDescent="0.25">
      <c r="A51" s="494" t="s">
        <v>551</v>
      </c>
      <c r="B51" s="491"/>
      <c r="C51" s="22" t="s">
        <v>2163</v>
      </c>
      <c r="D51" s="22" t="s">
        <v>2290</v>
      </c>
      <c r="E51" s="22" t="s">
        <v>2507</v>
      </c>
      <c r="F51" s="3">
        <v>0</v>
      </c>
      <c r="G51" s="3">
        <v>20</v>
      </c>
      <c r="H51" s="3">
        <v>20</v>
      </c>
      <c r="I51" s="3">
        <v>20</v>
      </c>
      <c r="J51" s="3">
        <v>20</v>
      </c>
      <c r="K51" s="3"/>
    </row>
    <row r="52" spans="1:11" x14ac:dyDescent="0.2">
      <c r="A52" s="491" t="s">
        <v>324</v>
      </c>
      <c r="B52" s="491"/>
      <c r="C52" s="3">
        <v>20</v>
      </c>
      <c r="D52" s="3">
        <v>20</v>
      </c>
      <c r="E52" s="3">
        <v>20</v>
      </c>
      <c r="F52" s="3"/>
      <c r="G52" s="3"/>
      <c r="H52" s="3"/>
      <c r="J52" s="3"/>
      <c r="K52" s="3"/>
    </row>
    <row r="53" spans="1:11" x14ac:dyDescent="0.2">
      <c r="A53" s="491"/>
      <c r="B53" s="491"/>
      <c r="C53" s="491"/>
      <c r="D53" s="3"/>
      <c r="E53" s="3"/>
      <c r="F53" s="3"/>
      <c r="G53" s="3"/>
      <c r="H53" s="3"/>
      <c r="J53" s="3"/>
      <c r="K53" s="3"/>
    </row>
    <row r="54" spans="1:11" ht="13.5" x14ac:dyDescent="0.25">
      <c r="A54" s="494" t="s">
        <v>1760</v>
      </c>
      <c r="B54" s="491"/>
      <c r="C54" s="491"/>
      <c r="D54" s="3"/>
      <c r="E54" s="3"/>
      <c r="F54" s="3"/>
      <c r="G54" s="3"/>
      <c r="H54" s="3"/>
      <c r="J54" s="3"/>
      <c r="K54" s="3"/>
    </row>
    <row r="55" spans="1:11" x14ac:dyDescent="0.2">
      <c r="A55" s="491"/>
      <c r="B55" s="491"/>
      <c r="C55" s="491"/>
      <c r="D55" s="3"/>
      <c r="E55" s="3"/>
      <c r="F55" s="3"/>
      <c r="G55" s="3"/>
      <c r="H55" s="3"/>
      <c r="J55" s="3"/>
      <c r="K55" s="3"/>
    </row>
    <row r="56" spans="1:11" ht="15" x14ac:dyDescent="0.35">
      <c r="A56" s="491"/>
      <c r="B56" s="491"/>
      <c r="C56" s="491"/>
      <c r="D56" s="564" t="s">
        <v>2507</v>
      </c>
      <c r="E56" s="571"/>
      <c r="F56" s="3"/>
      <c r="G56" s="3"/>
      <c r="H56" s="3"/>
      <c r="J56" s="3"/>
      <c r="K56" s="3"/>
    </row>
    <row r="57" spans="1:11" ht="13.5" x14ac:dyDescent="0.25">
      <c r="A57" s="494" t="s">
        <v>296</v>
      </c>
      <c r="B57" s="170" t="s">
        <v>2163</v>
      </c>
      <c r="C57" s="170" t="s">
        <v>2290</v>
      </c>
      <c r="D57" s="22" t="s">
        <v>264</v>
      </c>
      <c r="E57" s="22" t="s">
        <v>268</v>
      </c>
      <c r="F57" s="3">
        <v>76905</v>
      </c>
      <c r="G57" s="3">
        <v>78568</v>
      </c>
      <c r="H57" s="3">
        <f>+E72</f>
        <v>81245</v>
      </c>
      <c r="I57" s="3">
        <v>81245</v>
      </c>
      <c r="J57" s="3">
        <v>81245</v>
      </c>
      <c r="K57" s="3"/>
    </row>
    <row r="58" spans="1:11" x14ac:dyDescent="0.2">
      <c r="A58" s="491" t="s">
        <v>905</v>
      </c>
      <c r="B58" s="330">
        <v>1000</v>
      </c>
      <c r="C58" s="330">
        <v>1000</v>
      </c>
      <c r="D58" s="3">
        <v>1000</v>
      </c>
      <c r="E58" s="330">
        <v>1000</v>
      </c>
      <c r="F58" s="3"/>
      <c r="G58" s="3"/>
      <c r="H58" s="3"/>
      <c r="J58" s="3"/>
      <c r="K58" s="3"/>
    </row>
    <row r="59" spans="1:11" x14ac:dyDescent="0.2">
      <c r="A59" s="491" t="s">
        <v>1455</v>
      </c>
      <c r="B59" s="330">
        <v>1000</v>
      </c>
      <c r="C59" s="330">
        <v>1000</v>
      </c>
      <c r="D59" s="3">
        <v>1800</v>
      </c>
      <c r="E59" s="330">
        <v>1000</v>
      </c>
      <c r="F59" s="3"/>
      <c r="G59" s="3"/>
      <c r="H59" s="3"/>
      <c r="J59" s="3"/>
      <c r="K59" s="3"/>
    </row>
    <row r="60" spans="1:11" x14ac:dyDescent="0.2">
      <c r="A60" s="491" t="s">
        <v>1411</v>
      </c>
      <c r="B60" s="330">
        <v>5500</v>
      </c>
      <c r="C60" s="330">
        <v>5775</v>
      </c>
      <c r="D60" s="3">
        <v>6000</v>
      </c>
      <c r="E60" s="330">
        <v>6000</v>
      </c>
      <c r="F60" s="3"/>
      <c r="G60" s="3"/>
      <c r="H60" s="3"/>
      <c r="J60" s="3"/>
      <c r="K60" s="3"/>
    </row>
    <row r="61" spans="1:11" x14ac:dyDescent="0.2">
      <c r="A61" s="491" t="s">
        <v>1113</v>
      </c>
      <c r="B61" s="330">
        <v>2915</v>
      </c>
      <c r="C61" s="330">
        <v>2915</v>
      </c>
      <c r="D61" s="11">
        <v>3000</v>
      </c>
      <c r="E61" s="330">
        <v>3000</v>
      </c>
      <c r="F61" s="3"/>
      <c r="G61" s="3"/>
      <c r="H61" s="3"/>
      <c r="J61" s="3"/>
      <c r="K61" s="3"/>
    </row>
    <row r="62" spans="1:11" x14ac:dyDescent="0.2">
      <c r="A62" s="491" t="s">
        <v>1945</v>
      </c>
      <c r="B62" s="330">
        <v>3869</v>
      </c>
      <c r="C62" s="330">
        <v>4000</v>
      </c>
      <c r="D62" s="3">
        <v>4000</v>
      </c>
      <c r="E62" s="330">
        <v>4000</v>
      </c>
      <c r="F62" s="3"/>
      <c r="G62" s="3"/>
      <c r="H62" s="3"/>
      <c r="J62" s="3"/>
      <c r="K62" s="3"/>
    </row>
    <row r="63" spans="1:11" x14ac:dyDescent="0.2">
      <c r="A63" s="491" t="s">
        <v>2023</v>
      </c>
      <c r="B63" s="330">
        <v>2500</v>
      </c>
      <c r="C63" s="330">
        <v>2625</v>
      </c>
      <c r="D63" s="3">
        <v>5000</v>
      </c>
      <c r="E63" s="330">
        <v>2835</v>
      </c>
      <c r="F63" s="3"/>
      <c r="G63" s="3"/>
      <c r="H63" s="3"/>
      <c r="J63" s="3"/>
      <c r="K63" s="3"/>
    </row>
    <row r="64" spans="1:11" x14ac:dyDescent="0.2">
      <c r="A64" s="491" t="s">
        <v>88</v>
      </c>
      <c r="B64" s="330">
        <v>13886</v>
      </c>
      <c r="C64" s="330">
        <v>15018</v>
      </c>
      <c r="D64" s="3">
        <v>72034</v>
      </c>
      <c r="E64" s="330">
        <v>16220</v>
      </c>
      <c r="F64" s="3"/>
      <c r="G64" s="3"/>
      <c r="H64" s="3"/>
      <c r="J64" s="3"/>
      <c r="K64" s="3"/>
    </row>
    <row r="65" spans="1:11" x14ac:dyDescent="0.2">
      <c r="A65" s="352" t="s">
        <v>2196</v>
      </c>
      <c r="B65" s="330">
        <v>8000</v>
      </c>
      <c r="C65" s="330">
        <v>8000</v>
      </c>
      <c r="D65" s="3">
        <v>8000</v>
      </c>
      <c r="E65" s="330">
        <v>8000</v>
      </c>
      <c r="F65" s="3"/>
      <c r="G65" s="3"/>
      <c r="H65" s="3"/>
      <c r="J65" s="3"/>
      <c r="K65" s="3"/>
    </row>
    <row r="66" spans="1:11" x14ac:dyDescent="0.2">
      <c r="A66" s="491" t="s">
        <v>1451</v>
      </c>
      <c r="B66" s="330">
        <v>15000</v>
      </c>
      <c r="C66" s="330">
        <v>15000</v>
      </c>
      <c r="D66" s="3">
        <v>15000</v>
      </c>
      <c r="E66" s="330">
        <v>15000</v>
      </c>
      <c r="F66" s="3"/>
      <c r="G66" s="3"/>
      <c r="H66" s="3"/>
      <c r="J66" s="3"/>
      <c r="K66" s="3"/>
    </row>
    <row r="67" spans="1:11" x14ac:dyDescent="0.2">
      <c r="A67" s="491" t="s">
        <v>89</v>
      </c>
      <c r="B67" s="330">
        <v>5000</v>
      </c>
      <c r="C67" s="330">
        <v>5000</v>
      </c>
      <c r="D67" s="3">
        <v>5000</v>
      </c>
      <c r="E67" s="330">
        <v>5000</v>
      </c>
      <c r="F67" s="3"/>
      <c r="G67" s="3"/>
      <c r="H67" s="3"/>
      <c r="J67" s="3"/>
      <c r="K67" s="3"/>
    </row>
    <row r="68" spans="1:11" x14ac:dyDescent="0.2">
      <c r="A68" s="491" t="s">
        <v>984</v>
      </c>
      <c r="B68" s="330">
        <v>5000</v>
      </c>
      <c r="C68" s="330">
        <v>5000</v>
      </c>
      <c r="D68" s="3">
        <v>5000</v>
      </c>
      <c r="E68" s="330">
        <v>5000</v>
      </c>
      <c r="F68" s="3"/>
      <c r="G68" s="3"/>
      <c r="H68" s="3"/>
      <c r="J68" s="3"/>
      <c r="K68" s="3"/>
    </row>
    <row r="69" spans="1:11" x14ac:dyDescent="0.2">
      <c r="A69" s="491" t="s">
        <v>90</v>
      </c>
      <c r="B69" s="330">
        <v>1300</v>
      </c>
      <c r="C69" s="330">
        <v>1300</v>
      </c>
      <c r="D69" s="3">
        <v>1800</v>
      </c>
      <c r="E69" s="330">
        <v>1300</v>
      </c>
      <c r="F69" s="3"/>
      <c r="G69" s="3"/>
      <c r="H69" s="3"/>
      <c r="J69" s="3"/>
      <c r="K69" s="3"/>
    </row>
    <row r="70" spans="1:11" x14ac:dyDescent="0.2">
      <c r="A70" s="491" t="s">
        <v>544</v>
      </c>
      <c r="B70" s="330">
        <v>2500</v>
      </c>
      <c r="C70" s="330">
        <v>2500</v>
      </c>
      <c r="D70" s="3">
        <v>3000</v>
      </c>
      <c r="E70" s="330">
        <v>2700</v>
      </c>
      <c r="F70" s="3"/>
      <c r="G70" s="3"/>
      <c r="H70" s="3"/>
      <c r="J70" s="3"/>
      <c r="K70" s="3"/>
    </row>
    <row r="71" spans="1:11" ht="15" x14ac:dyDescent="0.35">
      <c r="A71" s="491" t="s">
        <v>2442</v>
      </c>
      <c r="B71" s="331">
        <v>9435</v>
      </c>
      <c r="C71" s="331">
        <v>9435</v>
      </c>
      <c r="D71" s="14">
        <v>18000</v>
      </c>
      <c r="E71" s="331">
        <v>10190</v>
      </c>
      <c r="F71" s="3"/>
      <c r="G71" s="3"/>
      <c r="H71" s="3"/>
      <c r="J71" s="3"/>
      <c r="K71" s="3"/>
    </row>
    <row r="72" spans="1:11" x14ac:dyDescent="0.2">
      <c r="A72" s="491" t="s">
        <v>1320</v>
      </c>
      <c r="B72" s="3">
        <f>SUM(B58:B71)</f>
        <v>76905</v>
      </c>
      <c r="C72" s="3">
        <f>SUM(C58:C71)</f>
        <v>78568</v>
      </c>
      <c r="D72" s="3">
        <f>SUM(D58:D71)</f>
        <v>148634</v>
      </c>
      <c r="E72" s="330">
        <f>SUM(E58:E71)</f>
        <v>81245</v>
      </c>
      <c r="F72" s="3"/>
      <c r="G72" s="3"/>
      <c r="H72" s="3"/>
      <c r="J72" s="3"/>
      <c r="K72" s="3"/>
    </row>
    <row r="73" spans="1:11" x14ac:dyDescent="0.2">
      <c r="A73" s="491"/>
      <c r="B73" s="3"/>
      <c r="C73" s="3"/>
      <c r="D73" s="3"/>
      <c r="E73" s="3"/>
      <c r="F73" s="3"/>
      <c r="G73" s="3"/>
      <c r="H73" s="3"/>
      <c r="J73" s="3"/>
      <c r="K73" s="3"/>
    </row>
    <row r="74" spans="1:11" x14ac:dyDescent="0.2">
      <c r="A74" s="491" t="s">
        <v>1029</v>
      </c>
      <c r="B74" s="3"/>
      <c r="C74" s="3"/>
      <c r="D74" s="3"/>
      <c r="E74" s="11"/>
      <c r="F74" s="3">
        <v>14520</v>
      </c>
      <c r="G74" s="3">
        <v>35000</v>
      </c>
      <c r="H74" s="3">
        <v>38300</v>
      </c>
      <c r="I74" s="3">
        <v>38300</v>
      </c>
      <c r="J74" s="3">
        <v>38300</v>
      </c>
      <c r="K74" s="3"/>
    </row>
    <row r="75" spans="1:11" x14ac:dyDescent="0.2">
      <c r="A75" s="491" t="s">
        <v>1030</v>
      </c>
      <c r="B75" s="3"/>
      <c r="C75" s="3"/>
      <c r="D75" s="3"/>
      <c r="E75" s="11"/>
      <c r="F75" s="3">
        <v>138</v>
      </c>
      <c r="G75" s="3">
        <v>1300</v>
      </c>
      <c r="H75" s="3">
        <v>1400</v>
      </c>
      <c r="I75" s="3">
        <v>1400</v>
      </c>
      <c r="J75" s="3">
        <v>1400</v>
      </c>
      <c r="K75" s="3"/>
    </row>
    <row r="76" spans="1:11" x14ac:dyDescent="0.2">
      <c r="A76" s="491" t="s">
        <v>807</v>
      </c>
      <c r="B76" s="3"/>
      <c r="C76" s="3"/>
      <c r="D76" s="3"/>
      <c r="E76" s="11"/>
      <c r="F76" s="3">
        <v>57</v>
      </c>
      <c r="G76" s="3">
        <v>400</v>
      </c>
      <c r="H76" s="3">
        <v>450</v>
      </c>
      <c r="I76" s="3">
        <v>450</v>
      </c>
      <c r="J76" s="3">
        <v>450</v>
      </c>
      <c r="K76" s="3"/>
    </row>
    <row r="77" spans="1:11" x14ac:dyDescent="0.2">
      <c r="A77" s="491" t="s">
        <v>808</v>
      </c>
      <c r="B77" s="3"/>
      <c r="C77" s="3"/>
      <c r="D77" s="3"/>
      <c r="E77" s="11"/>
      <c r="F77" s="3">
        <v>0</v>
      </c>
      <c r="G77" s="3">
        <v>800</v>
      </c>
      <c r="H77" s="3">
        <v>1200</v>
      </c>
      <c r="I77" s="3">
        <v>1200</v>
      </c>
      <c r="J77" s="3">
        <v>1200</v>
      </c>
      <c r="K77" s="3"/>
    </row>
    <row r="78" spans="1:11" x14ac:dyDescent="0.2">
      <c r="A78" s="491" t="s">
        <v>1031</v>
      </c>
      <c r="B78" s="3"/>
      <c r="C78" s="3"/>
      <c r="D78" s="3"/>
      <c r="E78" s="11"/>
      <c r="F78" s="3">
        <v>0</v>
      </c>
      <c r="G78" s="3">
        <v>50</v>
      </c>
      <c r="H78" s="3">
        <v>50</v>
      </c>
      <c r="I78" s="3">
        <v>50</v>
      </c>
      <c r="J78" s="3">
        <v>50</v>
      </c>
      <c r="K78" s="3"/>
    </row>
    <row r="79" spans="1:11" x14ac:dyDescent="0.2">
      <c r="A79" s="491" t="s">
        <v>1032</v>
      </c>
      <c r="B79" s="3"/>
      <c r="C79" s="3"/>
      <c r="D79" s="3"/>
      <c r="E79" s="11"/>
      <c r="F79" s="3">
        <v>0</v>
      </c>
      <c r="G79" s="3">
        <v>1</v>
      </c>
      <c r="H79" s="3">
        <v>1</v>
      </c>
      <c r="I79" s="3">
        <v>1</v>
      </c>
      <c r="J79" s="3">
        <v>1</v>
      </c>
      <c r="K79" s="3"/>
    </row>
    <row r="80" spans="1:11" x14ac:dyDescent="0.2">
      <c r="A80" s="491" t="s">
        <v>1033</v>
      </c>
      <c r="B80" s="3"/>
      <c r="C80" s="3"/>
      <c r="D80" s="3"/>
      <c r="E80" s="11"/>
      <c r="F80" s="3">
        <v>0</v>
      </c>
      <c r="G80" s="3">
        <v>200</v>
      </c>
      <c r="H80" s="3">
        <v>300</v>
      </c>
      <c r="I80" s="3">
        <v>300</v>
      </c>
      <c r="J80" s="3">
        <v>300</v>
      </c>
      <c r="K80" s="3"/>
    </row>
    <row r="81" spans="1:11" x14ac:dyDescent="0.2">
      <c r="A81" s="491" t="s">
        <v>1034</v>
      </c>
      <c r="B81" s="3"/>
      <c r="C81" s="3"/>
      <c r="D81" s="3"/>
      <c r="E81" s="11"/>
      <c r="F81" s="3">
        <v>0</v>
      </c>
      <c r="G81" s="3">
        <v>1</v>
      </c>
      <c r="H81" s="3">
        <v>1</v>
      </c>
      <c r="I81" s="3">
        <v>1</v>
      </c>
      <c r="J81" s="3">
        <v>1</v>
      </c>
      <c r="K81" s="3"/>
    </row>
    <row r="82" spans="1:11" x14ac:dyDescent="0.2">
      <c r="A82" s="491" t="s">
        <v>1373</v>
      </c>
      <c r="B82" s="3"/>
      <c r="C82" s="3"/>
      <c r="D82" s="3"/>
      <c r="E82" s="11"/>
      <c r="F82" s="3">
        <v>0</v>
      </c>
      <c r="G82" s="3">
        <v>1</v>
      </c>
      <c r="H82" s="3">
        <v>1</v>
      </c>
      <c r="I82" s="3">
        <v>1</v>
      </c>
      <c r="J82" s="3">
        <v>1</v>
      </c>
      <c r="K82" s="3"/>
    </row>
    <row r="83" spans="1:11" x14ac:dyDescent="0.2">
      <c r="A83" s="491" t="s">
        <v>1993</v>
      </c>
      <c r="B83" s="3"/>
      <c r="C83" s="3"/>
      <c r="D83" s="3"/>
      <c r="E83" s="11"/>
      <c r="F83" s="3">
        <v>5</v>
      </c>
      <c r="G83" s="3">
        <v>1000</v>
      </c>
      <c r="H83" s="3">
        <v>1000</v>
      </c>
      <c r="I83" s="3">
        <v>1000</v>
      </c>
      <c r="J83" s="3">
        <v>1000</v>
      </c>
      <c r="K83" s="3"/>
    </row>
    <row r="84" spans="1:11" x14ac:dyDescent="0.2">
      <c r="A84" s="491" t="s">
        <v>816</v>
      </c>
      <c r="B84" s="3"/>
      <c r="C84" s="3"/>
      <c r="D84" s="3"/>
      <c r="E84" s="11"/>
      <c r="F84" s="3">
        <v>0</v>
      </c>
      <c r="G84" s="3">
        <v>1</v>
      </c>
      <c r="H84" s="3">
        <v>1</v>
      </c>
      <c r="I84" s="3">
        <v>1</v>
      </c>
      <c r="J84" s="3">
        <v>1</v>
      </c>
      <c r="K84" s="3"/>
    </row>
    <row r="85" spans="1:11" x14ac:dyDescent="0.2">
      <c r="A85" s="491" t="s">
        <v>285</v>
      </c>
      <c r="B85" s="3"/>
      <c r="C85" s="3"/>
      <c r="D85" s="3"/>
      <c r="E85" s="11"/>
      <c r="F85" s="3">
        <v>0</v>
      </c>
      <c r="G85" s="3">
        <v>1</v>
      </c>
      <c r="H85" s="3">
        <v>1</v>
      </c>
      <c r="I85" s="3">
        <v>1</v>
      </c>
      <c r="J85" s="3">
        <v>1</v>
      </c>
      <c r="K85" s="3"/>
    </row>
    <row r="86" spans="1:11" x14ac:dyDescent="0.2">
      <c r="A86" s="491" t="s">
        <v>286</v>
      </c>
      <c r="B86" s="3"/>
      <c r="C86" s="3"/>
      <c r="D86" s="3"/>
      <c r="E86" s="11"/>
      <c r="F86" s="3">
        <v>3000</v>
      </c>
      <c r="G86" s="3">
        <v>1000</v>
      </c>
      <c r="H86" s="3">
        <v>1100</v>
      </c>
      <c r="I86" s="3">
        <v>1100</v>
      </c>
      <c r="J86" s="3">
        <v>1100</v>
      </c>
      <c r="K86" s="3"/>
    </row>
    <row r="87" spans="1:11" x14ac:dyDescent="0.2">
      <c r="A87" s="491" t="s">
        <v>1102</v>
      </c>
      <c r="B87" s="3"/>
      <c r="C87" s="3"/>
      <c r="D87" s="3"/>
      <c r="E87" s="11"/>
      <c r="F87" s="3">
        <v>0</v>
      </c>
      <c r="G87" s="3">
        <v>800</v>
      </c>
      <c r="H87" s="3">
        <v>900</v>
      </c>
      <c r="I87" s="3">
        <v>900</v>
      </c>
      <c r="J87" s="3">
        <v>900</v>
      </c>
      <c r="K87" s="3"/>
    </row>
    <row r="88" spans="1:11" x14ac:dyDescent="0.2">
      <c r="A88" s="491" t="s">
        <v>1505</v>
      </c>
      <c r="B88" s="3"/>
      <c r="C88" s="3"/>
      <c r="D88" s="3"/>
      <c r="E88" s="11"/>
      <c r="F88" s="3">
        <v>0</v>
      </c>
      <c r="G88" s="3">
        <v>1</v>
      </c>
      <c r="H88" s="3">
        <v>1</v>
      </c>
      <c r="I88" s="3">
        <v>1</v>
      </c>
      <c r="J88" s="3">
        <v>1</v>
      </c>
      <c r="K88" s="3"/>
    </row>
    <row r="89" spans="1:11" ht="15" x14ac:dyDescent="0.35">
      <c r="A89" s="491" t="s">
        <v>717</v>
      </c>
      <c r="B89" s="14"/>
      <c r="C89" s="14"/>
      <c r="D89" s="14"/>
      <c r="E89" s="12"/>
      <c r="F89" s="14">
        <v>0</v>
      </c>
      <c r="G89" s="14">
        <v>1</v>
      </c>
      <c r="H89" s="14">
        <v>1</v>
      </c>
      <c r="I89" s="14">
        <v>1</v>
      </c>
      <c r="J89" s="14">
        <v>1</v>
      </c>
      <c r="K89" s="14"/>
    </row>
    <row r="90" spans="1:11" ht="15" x14ac:dyDescent="0.35">
      <c r="A90" s="491" t="s">
        <v>418</v>
      </c>
      <c r="B90" s="3"/>
      <c r="C90" s="11"/>
      <c r="D90" s="11"/>
      <c r="E90" s="3"/>
      <c r="F90" s="14">
        <f t="shared" ref="F90:K90" si="0">SUM(F74:F89)</f>
        <v>17720</v>
      </c>
      <c r="G90" s="14">
        <f t="shared" si="0"/>
        <v>40557</v>
      </c>
      <c r="H90" s="14">
        <f t="shared" si="0"/>
        <v>44707</v>
      </c>
      <c r="I90" s="14">
        <f t="shared" ref="I90" si="1">SUM(I74:I89)</f>
        <v>44707</v>
      </c>
      <c r="J90" s="14">
        <f>SUM(J74:J89)</f>
        <v>44707</v>
      </c>
      <c r="K90" s="14">
        <f t="shared" si="0"/>
        <v>0</v>
      </c>
    </row>
    <row r="91" spans="1:11" x14ac:dyDescent="0.2">
      <c r="B91" s="3"/>
      <c r="C91" s="11"/>
      <c r="D91" s="11"/>
      <c r="E91" s="3"/>
      <c r="F91" s="3"/>
      <c r="G91" s="3"/>
      <c r="H91" s="3"/>
      <c r="J91" s="3"/>
      <c r="K91" s="3"/>
    </row>
    <row r="92" spans="1:11" x14ac:dyDescent="0.2">
      <c r="A92" s="348" t="s">
        <v>1405</v>
      </c>
      <c r="E92" s="3"/>
      <c r="F92" s="3">
        <f t="shared" ref="F92:K92" si="2">SUM(F6:F89)</f>
        <v>145145</v>
      </c>
      <c r="G92" s="3">
        <f t="shared" si="2"/>
        <v>169340</v>
      </c>
      <c r="H92" s="3">
        <f t="shared" si="2"/>
        <v>175588</v>
      </c>
      <c r="I92" s="3">
        <f t="shared" si="2"/>
        <v>175588</v>
      </c>
      <c r="J92" s="3">
        <f t="shared" si="2"/>
        <v>177156</v>
      </c>
      <c r="K92" s="3">
        <f t="shared" si="2"/>
        <v>0</v>
      </c>
    </row>
    <row r="93" spans="1:11" x14ac:dyDescent="0.2">
      <c r="I93" s="475"/>
      <c r="J93" s="3"/>
      <c r="K93" s="3"/>
    </row>
    <row r="94" spans="1:11" x14ac:dyDescent="0.2">
      <c r="A94" s="348" t="s">
        <v>1050</v>
      </c>
      <c r="F94" s="3">
        <f t="shared" ref="F94:K94" si="3">SUM(F6:F17)</f>
        <v>47383</v>
      </c>
      <c r="G94" s="3">
        <f t="shared" si="3"/>
        <v>46034</v>
      </c>
      <c r="H94" s="3">
        <f t="shared" si="3"/>
        <v>45145</v>
      </c>
      <c r="I94" s="3">
        <f t="shared" si="3"/>
        <v>45145</v>
      </c>
      <c r="J94" s="3">
        <f t="shared" si="3"/>
        <v>46713</v>
      </c>
      <c r="K94" s="3">
        <f t="shared" si="3"/>
        <v>0</v>
      </c>
    </row>
    <row r="95" spans="1:11" x14ac:dyDescent="0.2">
      <c r="A95" s="348" t="s">
        <v>1024</v>
      </c>
      <c r="F95" s="3">
        <f t="shared" ref="F95:K95" si="4">SUM(F57:F89)+SUM(F19:F53)</f>
        <v>97762</v>
      </c>
      <c r="G95" s="3">
        <f t="shared" si="4"/>
        <v>123306</v>
      </c>
      <c r="H95" s="3">
        <f t="shared" si="4"/>
        <v>130443</v>
      </c>
      <c r="I95" s="3">
        <f t="shared" si="4"/>
        <v>130443</v>
      </c>
      <c r="J95" s="3">
        <f t="shared" si="4"/>
        <v>130443</v>
      </c>
      <c r="K95" s="3">
        <f t="shared" si="4"/>
        <v>0</v>
      </c>
    </row>
    <row r="96" spans="1:11" x14ac:dyDescent="0.2">
      <c r="A96" s="348" t="s">
        <v>1025</v>
      </c>
      <c r="F96" s="21">
        <f t="shared" ref="F96:K96" si="5">+F54</f>
        <v>0</v>
      </c>
      <c r="G96" s="21">
        <f t="shared" si="5"/>
        <v>0</v>
      </c>
      <c r="H96" s="21">
        <f t="shared" si="5"/>
        <v>0</v>
      </c>
      <c r="I96" s="21">
        <f t="shared" si="5"/>
        <v>0</v>
      </c>
      <c r="J96" s="21">
        <f t="shared" si="5"/>
        <v>0</v>
      </c>
      <c r="K96" s="21">
        <f t="shared" si="5"/>
        <v>0</v>
      </c>
    </row>
    <row r="97" spans="1:11" x14ac:dyDescent="0.2">
      <c r="A97" s="348" t="s">
        <v>1320</v>
      </c>
      <c r="F97" s="3">
        <f t="shared" ref="F97:K97" si="6">SUM(F94:F96)</f>
        <v>145145</v>
      </c>
      <c r="G97" s="3">
        <f t="shared" si="6"/>
        <v>169340</v>
      </c>
      <c r="H97" s="3">
        <f t="shared" si="6"/>
        <v>175588</v>
      </c>
      <c r="I97" s="3">
        <f t="shared" ref="I97" si="7">SUM(I94:I96)</f>
        <v>175588</v>
      </c>
      <c r="J97" s="3">
        <f>SUM(J94:J96)</f>
        <v>177156</v>
      </c>
      <c r="K97" s="3">
        <f t="shared" si="6"/>
        <v>0</v>
      </c>
    </row>
    <row r="98" spans="1:11" x14ac:dyDescent="0.2">
      <c r="I98" s="475"/>
      <c r="J98" s="3"/>
      <c r="K98" s="3">
        <f>+K97-J97</f>
        <v>-177156</v>
      </c>
    </row>
    <row r="99" spans="1:11" x14ac:dyDescent="0.2">
      <c r="I99" s="475"/>
      <c r="J99" s="3"/>
    </row>
    <row r="100" spans="1:11" x14ac:dyDescent="0.2">
      <c r="I100" s="475"/>
      <c r="J100" s="3"/>
      <c r="K100" s="348">
        <v>1568</v>
      </c>
    </row>
    <row r="101" spans="1:11" x14ac:dyDescent="0.2">
      <c r="I101" s="475"/>
      <c r="J101" s="3">
        <f>J97-I97</f>
        <v>1568</v>
      </c>
      <c r="K101" s="3">
        <f>K97-I97</f>
        <v>-175588</v>
      </c>
    </row>
    <row r="102" spans="1:11" x14ac:dyDescent="0.2">
      <c r="I102" s="475"/>
      <c r="J102" s="3"/>
      <c r="K102" s="3">
        <f>K100-K101</f>
        <v>177156</v>
      </c>
    </row>
    <row r="103" spans="1:11" x14ac:dyDescent="0.2">
      <c r="I103" s="475"/>
      <c r="J103" s="3"/>
    </row>
    <row r="104" spans="1:11" x14ac:dyDescent="0.2">
      <c r="I104" s="475"/>
      <c r="J104" s="3"/>
    </row>
    <row r="105" spans="1:11" x14ac:dyDescent="0.2">
      <c r="I105" s="475"/>
      <c r="J105" s="3"/>
    </row>
    <row r="106" spans="1:11" x14ac:dyDescent="0.2">
      <c r="I106" s="475"/>
      <c r="J106" s="3"/>
    </row>
    <row r="107" spans="1:11" x14ac:dyDescent="0.2">
      <c r="I107" s="475"/>
      <c r="J107" s="3"/>
    </row>
    <row r="108" spans="1:11" x14ac:dyDescent="0.2">
      <c r="I108" s="475"/>
      <c r="J108" s="3"/>
    </row>
    <row r="109" spans="1:11" x14ac:dyDescent="0.2">
      <c r="I109" s="475"/>
      <c r="J109" s="3"/>
    </row>
    <row r="110" spans="1:11" x14ac:dyDescent="0.2">
      <c r="I110" s="475"/>
      <c r="J110" s="3"/>
    </row>
    <row r="111" spans="1:11" x14ac:dyDescent="0.2">
      <c r="I111" s="475"/>
      <c r="J111" s="3"/>
    </row>
    <row r="112" spans="1:11" x14ac:dyDescent="0.2">
      <c r="I112" s="475"/>
      <c r="J112" s="3"/>
    </row>
    <row r="113" spans="9:10" x14ac:dyDescent="0.2">
      <c r="I113" s="475"/>
      <c r="J113" s="3"/>
    </row>
    <row r="114" spans="9:10" x14ac:dyDescent="0.2">
      <c r="I114" s="475"/>
      <c r="J114" s="3"/>
    </row>
    <row r="115" spans="9:10" x14ac:dyDescent="0.2">
      <c r="I115" s="475"/>
      <c r="J115" s="3"/>
    </row>
    <row r="116" spans="9:10" x14ac:dyDescent="0.2">
      <c r="I116" s="475"/>
      <c r="J116" s="3"/>
    </row>
    <row r="117" spans="9:10" x14ac:dyDescent="0.2">
      <c r="J117" s="3"/>
    </row>
    <row r="118" spans="9:10" x14ac:dyDescent="0.2">
      <c r="J118" s="3"/>
    </row>
    <row r="119" spans="9:10" x14ac:dyDescent="0.2">
      <c r="J119" s="3"/>
    </row>
    <row r="120" spans="9:10" x14ac:dyDescent="0.2">
      <c r="J120" s="3"/>
    </row>
    <row r="121" spans="9:10" x14ac:dyDescent="0.2">
      <c r="J121" s="3"/>
    </row>
    <row r="122" spans="9:10" x14ac:dyDescent="0.2">
      <c r="J122" s="3"/>
    </row>
    <row r="123" spans="9:10" x14ac:dyDescent="0.2">
      <c r="J123" s="3"/>
    </row>
    <row r="124" spans="9:10" x14ac:dyDescent="0.2">
      <c r="J124" s="3"/>
    </row>
    <row r="125" spans="9:10" x14ac:dyDescent="0.2">
      <c r="J125" s="3"/>
    </row>
    <row r="126" spans="9:10" x14ac:dyDescent="0.2">
      <c r="J126" s="3"/>
    </row>
    <row r="127" spans="9:10" x14ac:dyDescent="0.2">
      <c r="J127" s="3"/>
    </row>
    <row r="128" spans="9:10" x14ac:dyDescent="0.2">
      <c r="J128" s="3"/>
    </row>
    <row r="129" spans="10:10" x14ac:dyDescent="0.2">
      <c r="J129" s="3"/>
    </row>
    <row r="130" spans="10:10" x14ac:dyDescent="0.2">
      <c r="J130" s="3"/>
    </row>
    <row r="131" spans="10:10" x14ac:dyDescent="0.2">
      <c r="J131" s="3"/>
    </row>
    <row r="132" spans="10:10" x14ac:dyDescent="0.2">
      <c r="J132" s="3"/>
    </row>
    <row r="133" spans="10:10" x14ac:dyDescent="0.2">
      <c r="J133" s="3"/>
    </row>
    <row r="134" spans="10:10" x14ac:dyDescent="0.2">
      <c r="J134" s="3"/>
    </row>
    <row r="135" spans="10:10" x14ac:dyDescent="0.2">
      <c r="J135" s="3"/>
    </row>
    <row r="136" spans="10:10" x14ac:dyDescent="0.2">
      <c r="J136" s="3"/>
    </row>
    <row r="137" spans="10:10" x14ac:dyDescent="0.2">
      <c r="J137" s="3"/>
    </row>
    <row r="138" spans="10:10" x14ac:dyDescent="0.2">
      <c r="J138" s="3"/>
    </row>
    <row r="139" spans="10:10" x14ac:dyDescent="0.2">
      <c r="J139" s="3"/>
    </row>
    <row r="140" spans="10:10" x14ac:dyDescent="0.2">
      <c r="J140" s="3"/>
    </row>
    <row r="141" spans="10:10" x14ac:dyDescent="0.2">
      <c r="J141" s="3"/>
    </row>
    <row r="142" spans="10:10" x14ac:dyDescent="0.2">
      <c r="J142" s="3"/>
    </row>
    <row r="143" spans="10:10" x14ac:dyDescent="0.2">
      <c r="J143" s="3"/>
    </row>
    <row r="144" spans="10:10" x14ac:dyDescent="0.2">
      <c r="J144" s="3"/>
    </row>
    <row r="145" spans="10:10" x14ac:dyDescent="0.2">
      <c r="J145" s="3"/>
    </row>
    <row r="146" spans="10:10" x14ac:dyDescent="0.2">
      <c r="J146" s="3"/>
    </row>
    <row r="147" spans="10:10" x14ac:dyDescent="0.2">
      <c r="J147" s="3"/>
    </row>
    <row r="148" spans="10:10" x14ac:dyDescent="0.2">
      <c r="J148" s="3"/>
    </row>
    <row r="149" spans="10:10" x14ac:dyDescent="0.2">
      <c r="J149" s="3"/>
    </row>
    <row r="150" spans="10:10" x14ac:dyDescent="0.2">
      <c r="J150" s="3"/>
    </row>
    <row r="151" spans="10:10" x14ac:dyDescent="0.2">
      <c r="J151" s="3"/>
    </row>
    <row r="152" spans="10:10" x14ac:dyDescent="0.2">
      <c r="J152" s="3"/>
    </row>
    <row r="153" spans="10:10" x14ac:dyDescent="0.2">
      <c r="J153" s="3"/>
    </row>
    <row r="154" spans="10:10" x14ac:dyDescent="0.2">
      <c r="J154" s="3"/>
    </row>
    <row r="155" spans="10:10" x14ac:dyDescent="0.2">
      <c r="J155" s="3"/>
    </row>
    <row r="156" spans="10:10" x14ac:dyDescent="0.2">
      <c r="J156" s="3"/>
    </row>
    <row r="157" spans="10:10" x14ac:dyDescent="0.2">
      <c r="J157" s="3"/>
    </row>
    <row r="158" spans="10:10" x14ac:dyDescent="0.2">
      <c r="J158" s="3"/>
    </row>
    <row r="159" spans="10:10" x14ac:dyDescent="0.2">
      <c r="J159" s="3"/>
    </row>
    <row r="160" spans="10:10" x14ac:dyDescent="0.2">
      <c r="J160" s="3"/>
    </row>
    <row r="161" spans="10:10" x14ac:dyDescent="0.2">
      <c r="J161" s="3"/>
    </row>
    <row r="162" spans="10:10" x14ac:dyDescent="0.2">
      <c r="J162" s="3"/>
    </row>
    <row r="163" spans="10:10" x14ac:dyDescent="0.2">
      <c r="J163" s="3"/>
    </row>
    <row r="164" spans="10:10" x14ac:dyDescent="0.2">
      <c r="J164" s="3"/>
    </row>
    <row r="165" spans="10:10" x14ac:dyDescent="0.2">
      <c r="J165" s="3"/>
    </row>
    <row r="166" spans="10:10" x14ac:dyDescent="0.2">
      <c r="J166" s="3"/>
    </row>
    <row r="167" spans="10:10" x14ac:dyDescent="0.2">
      <c r="J167" s="3"/>
    </row>
    <row r="168" spans="10:10" x14ac:dyDescent="0.2">
      <c r="J168" s="3"/>
    </row>
  </sheetData>
  <mergeCells count="2">
    <mergeCell ref="D56:E56"/>
    <mergeCell ref="A1:J1"/>
  </mergeCells>
  <phoneticPr fontId="0" type="noConversion"/>
  <printOptions gridLines="1"/>
  <pageMargins left="0.75" right="0.16" top="0.51" bottom="0.16" header="0.5" footer="0.5"/>
  <pageSetup scale="77" fitToHeight="3" orientation="landscape" r:id="rId1"/>
  <headerFooter alignWithMargins="0"/>
  <rowBreaks count="1" manualBreakCount="1">
    <brk id="53"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0"/>
  <sheetViews>
    <sheetView view="pageBreakPreview" zoomScaleNormal="100" zoomScaleSheetLayoutView="100" workbookViewId="0">
      <pane ySplit="5" topLeftCell="A48" activePane="bottomLeft" state="frozen"/>
      <selection activeCell="D43" sqref="D43"/>
      <selection pane="bottomLeft" activeCell="G51" sqref="G51:G57"/>
    </sheetView>
  </sheetViews>
  <sheetFormatPr defaultColWidth="8.85546875" defaultRowHeight="12.75" x14ac:dyDescent="0.2"/>
  <cols>
    <col min="1" max="1" width="53.85546875" style="296" bestFit="1" customWidth="1"/>
    <col min="2" max="3" width="11.28515625" style="296" bestFit="1" customWidth="1"/>
    <col min="4" max="4" width="11.7109375" style="296" bestFit="1" customWidth="1"/>
    <col min="5" max="5" width="14.85546875" style="296" bestFit="1" customWidth="1"/>
    <col min="6" max="7" width="11.28515625" style="296" bestFit="1" customWidth="1"/>
    <col min="8" max="8" width="0" style="296" hidden="1" customWidth="1"/>
    <col min="9" max="11" width="10.85546875" style="296" bestFit="1" customWidth="1"/>
    <col min="12" max="13" width="10" style="296" bestFit="1" customWidth="1"/>
    <col min="14" max="16384" width="8.85546875" style="296"/>
  </cols>
  <sheetData>
    <row r="1" spans="1:8" x14ac:dyDescent="0.2">
      <c r="A1" s="562" t="s">
        <v>2506</v>
      </c>
      <c r="B1" s="562"/>
      <c r="C1" s="562"/>
      <c r="D1" s="562"/>
      <c r="E1" s="562"/>
      <c r="F1" s="562"/>
      <c r="G1" s="562"/>
      <c r="H1" s="9"/>
    </row>
    <row r="2" spans="1:8" ht="18.75" x14ac:dyDescent="0.3">
      <c r="A2" s="202" t="s">
        <v>1886</v>
      </c>
      <c r="B2" s="202"/>
      <c r="C2" s="202"/>
      <c r="D2" s="202"/>
      <c r="E2" s="202"/>
      <c r="F2" s="202"/>
      <c r="G2" s="202"/>
    </row>
    <row r="3" spans="1:8" x14ac:dyDescent="0.2">
      <c r="A3" s="302"/>
      <c r="B3" s="3"/>
      <c r="C3" s="3"/>
      <c r="D3" s="302"/>
      <c r="E3" s="302"/>
      <c r="F3" s="302"/>
      <c r="G3" s="302"/>
    </row>
    <row r="4" spans="1:8" x14ac:dyDescent="0.2">
      <c r="A4" s="302"/>
      <c r="B4" s="19" t="s">
        <v>250</v>
      </c>
      <c r="C4" s="19" t="s">
        <v>251</v>
      </c>
      <c r="D4" s="19" t="s">
        <v>68</v>
      </c>
      <c r="E4" s="19" t="s">
        <v>432</v>
      </c>
      <c r="F4" s="19" t="s">
        <v>338</v>
      </c>
      <c r="G4" s="19" t="s">
        <v>370</v>
      </c>
    </row>
    <row r="5" spans="1:8" ht="15" x14ac:dyDescent="0.35">
      <c r="A5" s="302"/>
      <c r="B5" s="419" t="s">
        <v>2163</v>
      </c>
      <c r="C5" s="419" t="s">
        <v>2290</v>
      </c>
      <c r="D5" s="419" t="s">
        <v>2507</v>
      </c>
      <c r="E5" s="419" t="s">
        <v>2507</v>
      </c>
      <c r="F5" s="419" t="s">
        <v>2507</v>
      </c>
      <c r="G5" s="419" t="s">
        <v>2507</v>
      </c>
    </row>
    <row r="6" spans="1:8" ht="13.5" x14ac:dyDescent="0.25">
      <c r="A6" s="303" t="s">
        <v>288</v>
      </c>
      <c r="B6" s="3">
        <v>0</v>
      </c>
      <c r="C6" s="3">
        <v>1</v>
      </c>
      <c r="D6" s="3">
        <v>1</v>
      </c>
      <c r="E6" s="3">
        <v>1</v>
      </c>
      <c r="F6" s="3">
        <v>1</v>
      </c>
      <c r="G6" s="3"/>
    </row>
    <row r="7" spans="1:8" x14ac:dyDescent="0.2">
      <c r="A7" s="302" t="s">
        <v>282</v>
      </c>
      <c r="B7" s="3"/>
      <c r="C7" s="3"/>
      <c r="D7" s="3"/>
      <c r="E7" s="3"/>
      <c r="F7" s="3"/>
      <c r="G7" s="3"/>
    </row>
    <row r="8" spans="1:8" x14ac:dyDescent="0.2">
      <c r="A8" s="302" t="s">
        <v>283</v>
      </c>
      <c r="B8" s="3"/>
      <c r="C8" s="3"/>
      <c r="D8" s="3"/>
      <c r="E8" s="3"/>
      <c r="F8" s="3"/>
      <c r="G8" s="3"/>
    </row>
    <row r="9" spans="1:8" x14ac:dyDescent="0.2">
      <c r="A9" s="302"/>
      <c r="B9" s="3"/>
      <c r="C9" s="3"/>
      <c r="D9" s="3"/>
      <c r="E9" s="3"/>
      <c r="F9" s="3"/>
      <c r="G9" s="3"/>
    </row>
    <row r="10" spans="1:8" ht="13.5" x14ac:dyDescent="0.25">
      <c r="A10" s="303"/>
      <c r="B10" s="3"/>
      <c r="C10" s="3"/>
      <c r="D10" s="3"/>
      <c r="E10" s="3"/>
      <c r="F10" s="3"/>
      <c r="G10" s="3"/>
    </row>
    <row r="11" spans="1:8" x14ac:dyDescent="0.2">
      <c r="A11" s="243" t="s">
        <v>1429</v>
      </c>
      <c r="B11" s="3">
        <v>3706</v>
      </c>
      <c r="C11" s="3">
        <v>3681</v>
      </c>
      <c r="D11" s="3">
        <v>0</v>
      </c>
      <c r="E11" s="3">
        <v>0</v>
      </c>
      <c r="F11" s="3">
        <v>0</v>
      </c>
      <c r="G11" s="3"/>
    </row>
    <row r="12" spans="1:8" x14ac:dyDescent="0.2">
      <c r="A12" s="302" t="s">
        <v>41</v>
      </c>
      <c r="B12" s="3"/>
      <c r="C12" s="3"/>
      <c r="D12" s="3"/>
      <c r="E12" s="3"/>
      <c r="F12" s="3"/>
      <c r="G12" s="3"/>
    </row>
    <row r="13" spans="1:8" ht="13.5" x14ac:dyDescent="0.25">
      <c r="A13" s="303"/>
      <c r="B13" s="3"/>
      <c r="C13" s="3"/>
      <c r="D13" s="3"/>
      <c r="E13" s="3"/>
      <c r="F13" s="3"/>
      <c r="G13" s="3"/>
    </row>
    <row r="14" spans="1:8" x14ac:dyDescent="0.2">
      <c r="A14" s="243" t="s">
        <v>1430</v>
      </c>
      <c r="B14" s="3">
        <v>145000</v>
      </c>
      <c r="C14" s="3">
        <v>155000</v>
      </c>
      <c r="D14" s="3">
        <v>0</v>
      </c>
      <c r="E14" s="3">
        <v>0</v>
      </c>
      <c r="F14" s="3">
        <v>0</v>
      </c>
      <c r="G14" s="3"/>
    </row>
    <row r="15" spans="1:8" x14ac:dyDescent="0.2">
      <c r="A15" s="302" t="s">
        <v>41</v>
      </c>
      <c r="B15" s="3"/>
      <c r="C15" s="3"/>
      <c r="D15" s="3"/>
      <c r="E15" s="3"/>
      <c r="F15" s="3"/>
      <c r="G15" s="3"/>
    </row>
    <row r="16" spans="1:8" ht="13.5" x14ac:dyDescent="0.25">
      <c r="A16" s="303"/>
      <c r="B16" s="3"/>
      <c r="C16" s="3"/>
      <c r="D16" s="3"/>
      <c r="E16" s="3"/>
      <c r="F16" s="3"/>
      <c r="G16" s="3"/>
    </row>
    <row r="17" spans="1:12" x14ac:dyDescent="0.2">
      <c r="A17" s="243" t="s">
        <v>1930</v>
      </c>
      <c r="B17" s="3">
        <v>104955</v>
      </c>
      <c r="C17" s="3">
        <v>97050</v>
      </c>
      <c r="D17" s="3">
        <v>89145</v>
      </c>
      <c r="E17" s="3">
        <v>89145</v>
      </c>
      <c r="F17" s="3">
        <v>89145</v>
      </c>
      <c r="G17" s="3"/>
    </row>
    <row r="18" spans="1:12" x14ac:dyDescent="0.2">
      <c r="A18" s="302" t="s">
        <v>1932</v>
      </c>
      <c r="B18" s="3"/>
      <c r="C18" s="3"/>
      <c r="D18" s="3"/>
      <c r="E18" s="3"/>
      <c r="F18" s="3"/>
      <c r="G18" s="3"/>
    </row>
    <row r="19" spans="1:12" ht="13.5" x14ac:dyDescent="0.25">
      <c r="A19" s="303"/>
      <c r="B19" s="3"/>
      <c r="C19" s="3"/>
      <c r="D19" s="3"/>
      <c r="E19" s="3"/>
      <c r="F19" s="3"/>
      <c r="G19" s="3"/>
    </row>
    <row r="20" spans="1:12" ht="15" x14ac:dyDescent="0.35">
      <c r="A20" s="243" t="s">
        <v>1931</v>
      </c>
      <c r="B20" s="14">
        <v>155000</v>
      </c>
      <c r="C20" s="14">
        <v>155000</v>
      </c>
      <c r="D20" s="14">
        <v>155000</v>
      </c>
      <c r="E20" s="14">
        <v>155000</v>
      </c>
      <c r="F20" s="14">
        <v>155000</v>
      </c>
      <c r="G20" s="14"/>
    </row>
    <row r="21" spans="1:12" x14ac:dyDescent="0.2">
      <c r="A21" s="302" t="s">
        <v>1932</v>
      </c>
      <c r="B21" s="3"/>
      <c r="C21" s="3"/>
      <c r="D21" s="3"/>
      <c r="E21" s="3"/>
      <c r="F21" s="3"/>
      <c r="G21" s="3"/>
    </row>
    <row r="22" spans="1:12" ht="13.5" x14ac:dyDescent="0.25">
      <c r="A22" s="303"/>
      <c r="B22" s="3"/>
      <c r="C22" s="3"/>
      <c r="D22" s="3"/>
      <c r="E22" s="3"/>
      <c r="F22" s="3"/>
      <c r="G22" s="3"/>
    </row>
    <row r="23" spans="1:12" x14ac:dyDescent="0.2">
      <c r="A23" s="302" t="s">
        <v>1427</v>
      </c>
      <c r="B23" s="3">
        <f>SUM(B11:B20)</f>
        <v>408661</v>
      </c>
      <c r="C23" s="3">
        <f>SUM(C6:C20)</f>
        <v>410732</v>
      </c>
      <c r="D23" s="3">
        <f t="shared" ref="D23:G23" si="0">SUM(D6:D20)</f>
        <v>244146</v>
      </c>
      <c r="E23" s="3">
        <f t="shared" si="0"/>
        <v>244146</v>
      </c>
      <c r="F23" s="3">
        <f t="shared" si="0"/>
        <v>244146</v>
      </c>
      <c r="G23" s="3">
        <f t="shared" si="0"/>
        <v>0</v>
      </c>
    </row>
    <row r="24" spans="1:12" x14ac:dyDescent="0.2">
      <c r="A24" s="302"/>
      <c r="B24" s="3"/>
      <c r="C24" s="3"/>
      <c r="D24" s="3"/>
      <c r="E24" s="3"/>
      <c r="F24" s="3"/>
      <c r="G24" s="3"/>
    </row>
    <row r="25" spans="1:12" ht="13.5" x14ac:dyDescent="0.25">
      <c r="A25" s="303"/>
      <c r="B25" s="344"/>
      <c r="C25" s="344"/>
      <c r="D25" s="344"/>
      <c r="E25" s="344"/>
      <c r="F25" s="344"/>
      <c r="G25" s="344"/>
    </row>
    <row r="26" spans="1:12" x14ac:dyDescent="0.2">
      <c r="A26" s="302" t="s">
        <v>1867</v>
      </c>
      <c r="B26" s="3">
        <f>+'01-gen gov'!E278+'02-assessing'!E120+'03-fire'!E375+'04-police'!E308+'05-comm'!E155+'06-code enforcement'!E150+'07-pub works'!E142+'08-highway'!E358+'09-solid waste'!E225+'13-parks &amp; rec'!E253+'15-library'!E248+'16-equip mntc'!E127+'17-bldg &amp; grounds'!E150+'21-comm dev'!E156+'24-tax coll'!E151+'25-welfare'!F92+B23</f>
        <v>31209863</v>
      </c>
      <c r="C26" s="3">
        <f>+'01-gen gov'!F278+'02-assessing'!F120+'03-fire'!F375+'04-police'!F308+'05-comm'!F155+'06-code enforcement'!F150+'07-pub works'!F142+'08-highway'!F358+'09-solid waste'!F225+'13-parks &amp; rec'!F253+'15-library'!F248+'16-equip mntc'!F127+'17-bldg &amp; grounds'!F150+'21-comm dev'!F156+'24-tax coll'!F151+'25-welfare'!G92+C23</f>
        <v>32582780</v>
      </c>
      <c r="D26" s="3">
        <f>+'01-gen gov'!G278+'02-assessing'!G120+'03-fire'!G375+'04-police'!G308+'05-comm'!G155+'06-code enforcement'!G150+'07-pub works'!G142+'08-highway'!G358+'09-solid waste'!G225+'13-parks &amp; rec'!G253+'15-library'!G248+'16-equip mntc'!G127+'17-bldg &amp; grounds'!G150+'21-comm dev'!G156+'24-tax coll'!G151+'25-welfare'!H92+D23</f>
        <v>35476679.897280231</v>
      </c>
      <c r="E26" s="3">
        <f>+'01-gen gov'!H278+'02-assessing'!H120+'03-fire'!H375+'04-police'!H308+'05-comm'!H155+'06-code enforcement'!H150+'07-pub works'!H142+'08-highway'!H358+'09-solid waste'!H225+'13-parks &amp; rec'!H253+'15-library'!H248+'16-equip mntc'!H127+'17-bldg &amp; grounds'!H150+'21-comm dev'!H156+'24-tax coll'!H151+'25-welfare'!I92+E23</f>
        <v>34872305</v>
      </c>
      <c r="F26" s="3">
        <f>+'01-gen gov'!I278+'02-assessing'!I120+'03-fire'!I375+'04-police'!I308+'05-comm'!I155+'06-code enforcement'!I150+'07-pub works'!I142+'08-highway'!I358+'09-solid waste'!I225+'13-parks &amp; rec'!I253+'15-library'!I248+'16-equip mntc'!I127+'17-bldg &amp; grounds'!I150+'21-comm dev'!I156+'24-tax coll'!I151+'25-welfare'!J92+F23</f>
        <v>34917725</v>
      </c>
      <c r="G26" s="3">
        <f>+'01-gen gov'!J278+'02-assessing'!J120+'03-fire'!J375+'04-police'!J308+'05-comm'!J155+'06-code enforcement'!J150+'07-pub works'!J142+'08-highway'!J358+'09-solid waste'!J225+'13-parks &amp; rec'!J253+'15-library'!J248+'16-equip mntc'!J127+'17-bldg &amp; grounds'!J150+'21-comm dev'!J156+'24-tax coll'!J151+'25-welfare'!K92+G23</f>
        <v>0</v>
      </c>
    </row>
    <row r="27" spans="1:12" x14ac:dyDescent="0.2">
      <c r="A27" s="59"/>
      <c r="B27" s="3"/>
      <c r="C27" s="3"/>
      <c r="D27" s="3"/>
      <c r="E27" s="3"/>
      <c r="F27" s="3"/>
      <c r="G27" s="3"/>
    </row>
    <row r="28" spans="1:12" x14ac:dyDescent="0.2">
      <c r="A28" s="302" t="s">
        <v>628</v>
      </c>
      <c r="B28" s="3">
        <f>+'25-welfare'!F94+'24-tax coll'!E153+'21-comm dev'!E159+'17-bldg &amp; grounds'!E152+'16-equip mntc'!E130+'15-library'!E255+'13-parks &amp; rec'!E255+'09-solid waste'!E228+'08-highway'!E360+'07-pub works'!E144+'06-code enforcement'!E152+'05-comm'!E157+'04-police'!E310+'03-fire'!E377+'02-assessing'!E122+'01-gen gov'!E280</f>
        <v>21278355</v>
      </c>
      <c r="C28" s="3">
        <f>+'25-welfare'!G94+'24-tax coll'!F153+'21-comm dev'!F159+'17-bldg &amp; grounds'!F152+'16-equip mntc'!F130+'15-library'!F255+'13-parks &amp; rec'!F255+'09-solid waste'!F228+'08-highway'!F360+'07-pub works'!F144+'06-code enforcement'!F152+'05-comm'!F157+'04-police'!F310+'03-fire'!F377+'02-assessing'!F122+'01-gen gov'!F280</f>
        <v>23044941</v>
      </c>
      <c r="D28" s="3">
        <f>+'25-welfare'!H94+'24-tax coll'!G153+'21-comm dev'!G159+'17-bldg &amp; grounds'!G152+'16-equip mntc'!G130+'15-library'!G255+'13-parks &amp; rec'!G255+'09-solid waste'!G228+'08-highway'!G360+'07-pub works'!G144+'06-code enforcement'!G152+'05-comm'!G157+'04-police'!G310+'03-fire'!G377+'02-assessing'!G122+'01-gen gov'!G280</f>
        <v>23198287.897280231</v>
      </c>
      <c r="E28" s="3">
        <f>+'25-welfare'!I94+'24-tax coll'!H153+'21-comm dev'!H159+'17-bldg &amp; grounds'!H152+'16-equip mntc'!H130+'15-library'!H255+'13-parks &amp; rec'!H255+'09-solid waste'!H228+'08-highway'!H360+'07-pub works'!H144+'06-code enforcement'!H152+'05-comm'!H157+'04-police'!H310+'03-fire'!H377+'02-assessing'!H122+'01-gen gov'!H280</f>
        <v>23231758</v>
      </c>
      <c r="F28" s="3">
        <f>+'25-welfare'!J94+'24-tax coll'!I153+'21-comm dev'!I159+'17-bldg &amp; grounds'!I152+'16-equip mntc'!I130+'15-library'!I255+'13-parks &amp; rec'!I255+'09-solid waste'!I228+'08-highway'!I360+'07-pub works'!I144+'06-code enforcement'!I152+'05-comm'!I157+'04-police'!I310+'03-fire'!I377+'02-assessing'!I122+'01-gen gov'!I280</f>
        <v>23388452</v>
      </c>
      <c r="G28" s="3">
        <f>+'25-welfare'!K94+'24-tax coll'!J153+'21-comm dev'!J159+'17-bldg &amp; grounds'!J152+'16-equip mntc'!J130+'15-library'!J255+'13-parks &amp; rec'!J255+'09-solid waste'!J228+'08-highway'!J360+'07-pub works'!J144+'06-code enforcement'!J152+'05-comm'!J157+'04-police'!J310+'03-fire'!J377+'02-assessing'!J122+'01-gen gov'!J280</f>
        <v>0</v>
      </c>
    </row>
    <row r="29" spans="1:12" x14ac:dyDescent="0.2">
      <c r="A29" s="302" t="s">
        <v>1024</v>
      </c>
      <c r="B29" s="3">
        <f>+'25-welfare'!F95+'24-tax coll'!E154+'21-comm dev'!E160+'17-bldg &amp; grounds'!E153+'16-equip mntc'!E131+'15-library'!E256+'13-parks &amp; rec'!E256+'09-solid waste'!E229+'08-highway'!E361+'07-pub works'!E145+'06-code enforcement'!E153+'05-comm'!E158+'04-police'!E311+'03-fire'!E378+'02-assessing'!E123+'01-gen gov'!E281</f>
        <v>4708930</v>
      </c>
      <c r="C29" s="3">
        <f>+'25-welfare'!G95+'24-tax coll'!F154+'21-comm dev'!F160+'17-bldg &amp; grounds'!F153+'16-equip mntc'!F131+'15-library'!F256+'13-parks &amp; rec'!F256+'09-solid waste'!F229+'08-highway'!F361+'07-pub works'!F145+'06-code enforcement'!F153+'05-comm'!F158+'04-police'!F311+'03-fire'!F378+'02-assessing'!F123+'01-gen gov'!F281</f>
        <v>4956354</v>
      </c>
      <c r="D29" s="3">
        <f>+'25-welfare'!H95+'24-tax coll'!G154+'21-comm dev'!G160+'17-bldg &amp; grounds'!G153+'16-equip mntc'!G131+'15-library'!G256+'13-parks &amp; rec'!G256+'09-solid waste'!G229+'08-highway'!G361+'07-pub works'!G145+'06-code enforcement'!G153+'05-comm'!G158+'04-police'!G311+'03-fire'!G378+'02-assessing'!G123+'01-gen gov'!G281</f>
        <v>5450333</v>
      </c>
      <c r="E29" s="3">
        <f>+'25-welfare'!I95+'24-tax coll'!H154+'21-comm dev'!H160+'17-bldg &amp; grounds'!H153+'16-equip mntc'!H131+'15-library'!H256+'13-parks &amp; rec'!H256+'09-solid waste'!H229+'08-highway'!H361+'07-pub works'!H145+'06-code enforcement'!H153+'05-comm'!H158+'04-police'!H311+'03-fire'!H378+'02-assessing'!H123+'01-gen gov'!H281</f>
        <v>5387488</v>
      </c>
      <c r="F29" s="3">
        <f>+'25-welfare'!J95+'24-tax coll'!I154+'21-comm dev'!I160+'17-bldg &amp; grounds'!I153+'16-equip mntc'!I131+'15-library'!I256+'13-parks &amp; rec'!I256+'09-solid waste'!I229+'08-highway'!I361+'07-pub works'!I145+'06-code enforcement'!I153+'05-comm'!I158+'04-police'!I311+'03-fire'!I378+'02-assessing'!I123+'01-gen gov'!I281</f>
        <v>5336214</v>
      </c>
      <c r="G29" s="3">
        <f>+'25-welfare'!K95+'24-tax coll'!J154+'21-comm dev'!J160+'17-bldg &amp; grounds'!J153+'16-equip mntc'!J131+'15-library'!J256+'13-parks &amp; rec'!J256+'09-solid waste'!J229+'08-highway'!J361+'07-pub works'!J145+'06-code enforcement'!J153+'05-comm'!J158+'04-police'!J311+'03-fire'!J378+'02-assessing'!J123+'01-gen gov'!J281</f>
        <v>0</v>
      </c>
    </row>
    <row r="30" spans="1:12" x14ac:dyDescent="0.2">
      <c r="A30" s="302" t="s">
        <v>1025</v>
      </c>
      <c r="B30" s="3">
        <f>+'25-welfare'!F96+'24-tax coll'!E155+'21-comm dev'!E161+'17-bldg &amp; grounds'!E154+'16-equip mntc'!E132+'15-library'!E257+'13-parks &amp; rec'!E257+'09-solid waste'!E230+'08-highway'!E362+'07-pub works'!E146+'06-code enforcement'!E154+'05-comm'!E159+'04-police'!E312+'03-fire'!E379+'02-assessing'!E124+'01-gen gov'!E282</f>
        <v>4813917</v>
      </c>
      <c r="C30" s="3">
        <f>+'25-welfare'!G96+'24-tax coll'!F155+'21-comm dev'!F161+'17-bldg &amp; grounds'!F154+'16-equip mntc'!F132+'15-library'!F257+'13-parks &amp; rec'!F257+'09-solid waste'!F230+'08-highway'!F362+'07-pub works'!F146+'06-code enforcement'!F154+'05-comm'!F159+'04-police'!F312+'03-fire'!F379+'02-assessing'!F124+'01-gen gov'!F282</f>
        <v>4170753</v>
      </c>
      <c r="D30" s="3">
        <f>+'25-welfare'!H96+'24-tax coll'!G155+'21-comm dev'!G161+'17-bldg &amp; grounds'!G154+'16-equip mntc'!G132+'15-library'!G257+'13-parks &amp; rec'!G257+'09-solid waste'!G230+'08-highway'!G362+'07-pub works'!G146+'06-code enforcement'!G154+'05-comm'!G159+'04-police'!G312+'03-fire'!G379+'02-assessing'!G124+'01-gen gov'!G282</f>
        <v>6583913</v>
      </c>
      <c r="E30" s="3">
        <f>+'25-welfare'!I96+'24-tax coll'!H155+'21-comm dev'!H161+'17-bldg &amp; grounds'!H154+'16-equip mntc'!H132+'15-library'!H257+'13-parks &amp; rec'!H257+'09-solid waste'!H230+'08-highway'!H362+'07-pub works'!H146+'06-code enforcement'!H154+'05-comm'!H159+'04-police'!H312+'03-fire'!H379+'02-assessing'!H124+'01-gen gov'!H282</f>
        <v>6008913</v>
      </c>
      <c r="F30" s="3">
        <f>+'25-welfare'!J96+'24-tax coll'!I155+'21-comm dev'!I161+'17-bldg &amp; grounds'!I154+'16-equip mntc'!I132+'15-library'!I257+'13-parks &amp; rec'!I257+'09-solid waste'!I230+'08-highway'!I362+'07-pub works'!I146+'06-code enforcement'!I154+'05-comm'!I159+'04-police'!I312+'03-fire'!I379+'02-assessing'!I124+'01-gen gov'!I282</f>
        <v>5948913</v>
      </c>
      <c r="G30" s="3">
        <f>+'25-welfare'!K96+'24-tax coll'!J155+'21-comm dev'!J161+'17-bldg &amp; grounds'!J154+'16-equip mntc'!J132+'15-library'!J257+'13-parks &amp; rec'!J257+'09-solid waste'!J230+'08-highway'!J362+'07-pub works'!J146+'06-code enforcement'!J154+'05-comm'!J159+'04-police'!J312+'03-fire'!J379+'02-assessing'!J124+'01-gen gov'!J282</f>
        <v>0</v>
      </c>
    </row>
    <row r="31" spans="1:12" ht="15" x14ac:dyDescent="0.35">
      <c r="A31" s="302" t="s">
        <v>1215</v>
      </c>
      <c r="B31" s="14">
        <f t="shared" ref="B31:G31" si="1">+B23</f>
        <v>408661</v>
      </c>
      <c r="C31" s="14">
        <f t="shared" si="1"/>
        <v>410732</v>
      </c>
      <c r="D31" s="14">
        <f t="shared" si="1"/>
        <v>244146</v>
      </c>
      <c r="E31" s="14">
        <f t="shared" si="1"/>
        <v>244146</v>
      </c>
      <c r="F31" s="14">
        <f t="shared" si="1"/>
        <v>244146</v>
      </c>
      <c r="G31" s="14">
        <f t="shared" si="1"/>
        <v>0</v>
      </c>
    </row>
    <row r="32" spans="1:12" x14ac:dyDescent="0.2">
      <c r="A32" s="302" t="s">
        <v>1320</v>
      </c>
      <c r="B32" s="3">
        <f t="shared" ref="B32:G32" si="2">SUM(B28:B31)</f>
        <v>31209863</v>
      </c>
      <c r="C32" s="3">
        <f t="shared" si="2"/>
        <v>32582780</v>
      </c>
      <c r="D32" s="3">
        <f t="shared" si="2"/>
        <v>35476679.897280231</v>
      </c>
      <c r="E32" s="3">
        <f t="shared" si="2"/>
        <v>34872305</v>
      </c>
      <c r="F32" s="3">
        <f t="shared" si="2"/>
        <v>34917725</v>
      </c>
      <c r="G32" s="3">
        <f t="shared" si="2"/>
        <v>0</v>
      </c>
      <c r="I32" s="3">
        <f>+B32-B26</f>
        <v>0</v>
      </c>
      <c r="J32" s="3">
        <f>+C32-C26</f>
        <v>0</v>
      </c>
      <c r="K32" s="3">
        <f>+D32-D26</f>
        <v>0</v>
      </c>
      <c r="L32" s="3">
        <f>+E32-E26</f>
        <v>0</v>
      </c>
    </row>
    <row r="33" spans="1:13" x14ac:dyDescent="0.2">
      <c r="A33" s="302"/>
      <c r="B33" s="3"/>
      <c r="C33" s="3"/>
      <c r="D33" s="3"/>
      <c r="E33" s="3"/>
      <c r="F33" s="3"/>
      <c r="G33" s="3"/>
    </row>
    <row r="34" spans="1:13" x14ac:dyDescent="0.2">
      <c r="A34" s="562" t="s">
        <v>2506</v>
      </c>
      <c r="B34" s="562"/>
      <c r="C34" s="562"/>
      <c r="D34" s="562"/>
      <c r="E34" s="562"/>
      <c r="F34" s="562"/>
      <c r="G34" s="562"/>
    </row>
    <row r="35" spans="1:13" x14ac:dyDescent="0.2">
      <c r="A35" s="562" t="s">
        <v>1887</v>
      </c>
      <c r="B35" s="562"/>
      <c r="C35" s="562"/>
      <c r="D35" s="562"/>
      <c r="E35" s="562"/>
      <c r="F35" s="562"/>
      <c r="G35" s="562"/>
    </row>
    <row r="36" spans="1:13" ht="15" x14ac:dyDescent="0.35">
      <c r="A36" s="302"/>
      <c r="B36" s="14"/>
      <c r="C36" s="14"/>
      <c r="D36" s="14"/>
      <c r="E36" s="14"/>
      <c r="F36" s="14"/>
      <c r="G36" s="14"/>
    </row>
    <row r="37" spans="1:13" x14ac:dyDescent="0.2">
      <c r="A37" s="302"/>
      <c r="B37" s="19" t="s">
        <v>250</v>
      </c>
      <c r="C37" s="19" t="s">
        <v>251</v>
      </c>
      <c r="D37" s="19" t="s">
        <v>68</v>
      </c>
      <c r="E37" s="19" t="s">
        <v>432</v>
      </c>
      <c r="F37" s="19" t="s">
        <v>338</v>
      </c>
      <c r="G37" s="19" t="s">
        <v>370</v>
      </c>
      <c r="I37" s="3"/>
      <c r="J37" s="3"/>
      <c r="K37" s="3"/>
      <c r="L37" s="3"/>
      <c r="M37" s="3"/>
    </row>
    <row r="38" spans="1:13" ht="15" x14ac:dyDescent="0.35">
      <c r="A38" s="302"/>
      <c r="B38" s="419" t="s">
        <v>2163</v>
      </c>
      <c r="C38" s="419" t="s">
        <v>2290</v>
      </c>
      <c r="D38" s="419" t="s">
        <v>2507</v>
      </c>
      <c r="E38" s="419" t="s">
        <v>2507</v>
      </c>
      <c r="F38" s="419" t="s">
        <v>2507</v>
      </c>
      <c r="G38" s="419" t="s">
        <v>2507</v>
      </c>
    </row>
    <row r="39" spans="1:13" x14ac:dyDescent="0.2">
      <c r="A39" s="301" t="s">
        <v>1468</v>
      </c>
      <c r="B39" s="179">
        <v>0</v>
      </c>
      <c r="C39" s="19">
        <v>0</v>
      </c>
      <c r="D39" s="19">
        <v>0</v>
      </c>
      <c r="E39" s="19">
        <v>0</v>
      </c>
      <c r="F39" s="19">
        <v>0</v>
      </c>
      <c r="G39" s="19">
        <v>0</v>
      </c>
    </row>
    <row r="40" spans="1:13" ht="18.75" x14ac:dyDescent="0.3">
      <c r="A40" s="491" t="s">
        <v>2529</v>
      </c>
      <c r="B40" s="202"/>
      <c r="C40" s="202"/>
      <c r="D40" s="202"/>
      <c r="E40" s="202"/>
      <c r="F40" s="202"/>
      <c r="G40" s="202"/>
    </row>
    <row r="41" spans="1:13" x14ac:dyDescent="0.2">
      <c r="A41" s="491"/>
      <c r="B41" s="3"/>
      <c r="C41" s="491"/>
      <c r="D41" s="491"/>
      <c r="E41" s="491"/>
      <c r="F41" s="557"/>
      <c r="G41" s="557"/>
    </row>
    <row r="42" spans="1:13" x14ac:dyDescent="0.2">
      <c r="A42" s="490" t="s">
        <v>1469</v>
      </c>
      <c r="B42" s="19">
        <v>0</v>
      </c>
      <c r="C42" s="19">
        <v>0</v>
      </c>
      <c r="D42" s="19">
        <v>0</v>
      </c>
      <c r="E42" s="19">
        <v>0</v>
      </c>
      <c r="F42" s="19">
        <v>0</v>
      </c>
      <c r="G42" s="19">
        <v>0</v>
      </c>
    </row>
    <row r="43" spans="1:13" ht="15" x14ac:dyDescent="0.35">
      <c r="A43" s="491" t="s">
        <v>2529</v>
      </c>
      <c r="B43" s="492"/>
      <c r="C43" s="492"/>
      <c r="D43" s="492"/>
      <c r="E43" s="492"/>
      <c r="F43" s="558"/>
      <c r="G43" s="558"/>
    </row>
    <row r="44" spans="1:13" ht="13.5" x14ac:dyDescent="0.25">
      <c r="A44" s="494"/>
      <c r="B44" s="3"/>
      <c r="C44" s="3"/>
      <c r="D44" s="3"/>
      <c r="E44" s="3"/>
      <c r="F44" s="3"/>
      <c r="G44" s="3"/>
    </row>
    <row r="45" spans="1:13" x14ac:dyDescent="0.2">
      <c r="A45" s="490" t="s">
        <v>1346</v>
      </c>
      <c r="B45" s="3">
        <v>4479</v>
      </c>
      <c r="C45" s="3">
        <v>0</v>
      </c>
      <c r="D45" s="3">
        <v>0</v>
      </c>
      <c r="E45" s="3">
        <v>0</v>
      </c>
      <c r="F45" s="3">
        <v>0</v>
      </c>
      <c r="G45" s="3">
        <v>0</v>
      </c>
    </row>
    <row r="46" spans="1:13" x14ac:dyDescent="0.2">
      <c r="A46" s="491" t="s">
        <v>111</v>
      </c>
      <c r="B46" s="3"/>
      <c r="C46" s="3"/>
      <c r="D46" s="3"/>
      <c r="E46" s="3"/>
      <c r="F46" s="3"/>
      <c r="G46" s="3"/>
    </row>
    <row r="47" spans="1:13" ht="13.5" x14ac:dyDescent="0.25">
      <c r="A47" s="494"/>
      <c r="B47" s="3"/>
      <c r="C47" s="3"/>
      <c r="D47" s="3"/>
      <c r="E47" s="3"/>
      <c r="F47" s="3"/>
      <c r="G47" s="3"/>
    </row>
    <row r="48" spans="1:13" x14ac:dyDescent="0.2">
      <c r="A48" s="490" t="s">
        <v>1347</v>
      </c>
      <c r="B48" s="3">
        <v>263468</v>
      </c>
      <c r="C48" s="3">
        <v>0</v>
      </c>
      <c r="D48" s="3">
        <v>0</v>
      </c>
      <c r="E48" s="3">
        <v>0</v>
      </c>
      <c r="F48" s="3">
        <v>0</v>
      </c>
      <c r="G48" s="3">
        <v>0</v>
      </c>
    </row>
    <row r="49" spans="1:10" x14ac:dyDescent="0.2">
      <c r="A49" s="27" t="s">
        <v>110</v>
      </c>
      <c r="B49" s="3"/>
      <c r="C49" s="3"/>
      <c r="D49" s="3"/>
      <c r="E49" s="3"/>
      <c r="F49" s="3"/>
      <c r="G49" s="3"/>
    </row>
    <row r="50" spans="1:10" ht="13.5" x14ac:dyDescent="0.25">
      <c r="A50" s="494"/>
      <c r="B50" s="3"/>
      <c r="C50" s="3"/>
      <c r="D50" s="3"/>
      <c r="E50" s="3"/>
      <c r="F50" s="3"/>
      <c r="G50" s="3"/>
    </row>
    <row r="51" spans="1:10" x14ac:dyDescent="0.2">
      <c r="A51" s="490" t="s">
        <v>1794</v>
      </c>
      <c r="B51" s="3">
        <v>166022</v>
      </c>
      <c r="C51" s="3">
        <v>166022</v>
      </c>
      <c r="D51" s="3">
        <v>166022</v>
      </c>
      <c r="E51" s="3">
        <v>166022</v>
      </c>
      <c r="F51" s="3">
        <v>166022</v>
      </c>
      <c r="G51" s="3"/>
    </row>
    <row r="52" spans="1:10" x14ac:dyDescent="0.2">
      <c r="A52" s="491" t="s">
        <v>1767</v>
      </c>
      <c r="B52" s="3"/>
      <c r="C52" s="3"/>
      <c r="D52" s="3"/>
      <c r="E52" s="3"/>
      <c r="F52" s="3"/>
      <c r="G52" s="3"/>
    </row>
    <row r="53" spans="1:10" ht="13.5" x14ac:dyDescent="0.25">
      <c r="A53" s="494"/>
      <c r="B53" s="3"/>
      <c r="C53" s="3"/>
      <c r="D53" s="3"/>
      <c r="E53" s="3"/>
      <c r="F53" s="3"/>
      <c r="G53" s="3"/>
    </row>
    <row r="54" spans="1:10" x14ac:dyDescent="0.2">
      <c r="A54" s="490" t="s">
        <v>1795</v>
      </c>
      <c r="B54" s="3">
        <v>181677</v>
      </c>
      <c r="C54" s="3">
        <v>181677</v>
      </c>
      <c r="D54" s="3">
        <v>181677</v>
      </c>
      <c r="E54" s="3">
        <v>181677</v>
      </c>
      <c r="F54" s="3">
        <v>181677</v>
      </c>
      <c r="G54" s="3"/>
    </row>
    <row r="55" spans="1:10" x14ac:dyDescent="0.2">
      <c r="A55" s="27" t="s">
        <v>1768</v>
      </c>
      <c r="B55" s="3"/>
      <c r="C55" s="3"/>
      <c r="D55" s="3"/>
      <c r="E55" s="3"/>
      <c r="F55" s="3"/>
      <c r="G55" s="3"/>
    </row>
    <row r="56" spans="1:10" ht="13.5" x14ac:dyDescent="0.25">
      <c r="A56" s="494"/>
      <c r="B56" s="3"/>
      <c r="C56" s="3"/>
      <c r="D56" s="3"/>
      <c r="E56" s="3"/>
      <c r="F56" s="3"/>
      <c r="G56" s="3"/>
      <c r="J56" s="3"/>
    </row>
    <row r="57" spans="1:10" ht="15" x14ac:dyDescent="0.35">
      <c r="A57" s="490" t="s">
        <v>1796</v>
      </c>
      <c r="B57" s="14">
        <v>104310</v>
      </c>
      <c r="C57" s="14">
        <v>97356</v>
      </c>
      <c r="D57" s="14">
        <v>90402</v>
      </c>
      <c r="E57" s="14">
        <v>90402</v>
      </c>
      <c r="F57" s="14">
        <v>90402</v>
      </c>
      <c r="G57" s="14"/>
      <c r="J57" s="15"/>
    </row>
    <row r="58" spans="1:10" x14ac:dyDescent="0.2">
      <c r="A58" s="27" t="s">
        <v>1769</v>
      </c>
      <c r="B58" s="3"/>
      <c r="C58" s="3"/>
      <c r="D58" s="3"/>
      <c r="E58" s="3"/>
      <c r="F58" s="3"/>
      <c r="G58" s="3"/>
    </row>
    <row r="59" spans="1:10" ht="13.5" x14ac:dyDescent="0.25">
      <c r="A59" s="494"/>
      <c r="B59" s="3"/>
      <c r="C59" s="3"/>
      <c r="D59" s="3"/>
      <c r="E59" s="3"/>
      <c r="F59" s="3"/>
      <c r="G59" s="3"/>
    </row>
    <row r="60" spans="1:10" x14ac:dyDescent="0.2">
      <c r="A60" s="27"/>
      <c r="B60" s="3"/>
      <c r="C60" s="3"/>
      <c r="D60" s="3"/>
      <c r="E60" s="3"/>
      <c r="F60" s="3"/>
      <c r="G60" s="3"/>
    </row>
    <row r="61" spans="1:10" ht="13.5" x14ac:dyDescent="0.25">
      <c r="A61" s="303" t="s">
        <v>266</v>
      </c>
      <c r="B61" s="3">
        <f t="shared" ref="B61:G61" si="3">SUM(B39:B58)</f>
        <v>719956</v>
      </c>
      <c r="C61" s="3">
        <f t="shared" si="3"/>
        <v>445055</v>
      </c>
      <c r="D61" s="3">
        <f t="shared" si="3"/>
        <v>438101</v>
      </c>
      <c r="E61" s="3">
        <f t="shared" si="3"/>
        <v>438101</v>
      </c>
      <c r="F61" s="3">
        <f t="shared" si="3"/>
        <v>438101</v>
      </c>
      <c r="G61" s="3">
        <f t="shared" si="3"/>
        <v>0</v>
      </c>
    </row>
    <row r="62" spans="1:10" ht="15" x14ac:dyDescent="0.35">
      <c r="A62" s="303"/>
      <c r="B62" s="14"/>
      <c r="C62" s="14"/>
      <c r="D62" s="14"/>
      <c r="E62" s="14"/>
      <c r="F62" s="14"/>
      <c r="G62" s="14"/>
    </row>
    <row r="63" spans="1:10" x14ac:dyDescent="0.2">
      <c r="A63" s="27" t="s">
        <v>1427</v>
      </c>
      <c r="B63" s="1">
        <f t="shared" ref="B63:G63" si="4">+B23</f>
        <v>408661</v>
      </c>
      <c r="C63" s="1">
        <f t="shared" si="4"/>
        <v>410732</v>
      </c>
      <c r="D63" s="1">
        <f t="shared" si="4"/>
        <v>244146</v>
      </c>
      <c r="E63" s="3">
        <f t="shared" si="4"/>
        <v>244146</v>
      </c>
      <c r="F63" s="3">
        <f t="shared" si="4"/>
        <v>244146</v>
      </c>
      <c r="G63" s="3">
        <f t="shared" si="4"/>
        <v>0</v>
      </c>
    </row>
    <row r="64" spans="1:10" x14ac:dyDescent="0.2">
      <c r="A64" s="27" t="s">
        <v>266</v>
      </c>
      <c r="B64" s="1">
        <f t="shared" ref="B64:G64" si="5">+B61</f>
        <v>719956</v>
      </c>
      <c r="C64" s="1">
        <f t="shared" si="5"/>
        <v>445055</v>
      </c>
      <c r="D64" s="1">
        <f t="shared" si="5"/>
        <v>438101</v>
      </c>
      <c r="E64" s="3">
        <f t="shared" si="5"/>
        <v>438101</v>
      </c>
      <c r="F64" s="3">
        <f t="shared" si="5"/>
        <v>438101</v>
      </c>
      <c r="G64" s="3">
        <f t="shared" si="5"/>
        <v>0</v>
      </c>
    </row>
    <row r="65" spans="1:8" x14ac:dyDescent="0.2">
      <c r="A65" s="302" t="s">
        <v>1320</v>
      </c>
      <c r="B65" s="3">
        <f>SUM(B63:B64)</f>
        <v>1128617</v>
      </c>
      <c r="C65" s="3">
        <f>SUM(C63:C64)</f>
        <v>855787</v>
      </c>
      <c r="D65" s="3">
        <f>SUM(D63:D64)</f>
        <v>682247</v>
      </c>
      <c r="E65" s="3">
        <f t="shared" ref="E65:G65" si="6">SUM(E63:E64)</f>
        <v>682247</v>
      </c>
      <c r="F65" s="3">
        <f t="shared" si="6"/>
        <v>682247</v>
      </c>
      <c r="G65" s="3">
        <f t="shared" si="6"/>
        <v>0</v>
      </c>
    </row>
    <row r="66" spans="1:8" x14ac:dyDescent="0.2">
      <c r="B66" s="3"/>
      <c r="C66" s="3"/>
      <c r="D66" s="3"/>
      <c r="E66" s="3"/>
      <c r="F66" s="3"/>
      <c r="G66" s="3"/>
    </row>
    <row r="67" spans="1:8" x14ac:dyDescent="0.2">
      <c r="B67" s="3"/>
      <c r="C67" s="3"/>
      <c r="D67" s="3"/>
      <c r="E67" s="3"/>
      <c r="F67" s="3"/>
      <c r="G67" s="3"/>
    </row>
    <row r="68" spans="1:8" x14ac:dyDescent="0.2">
      <c r="B68" s="3"/>
      <c r="C68" s="3"/>
      <c r="D68" s="3"/>
      <c r="E68" s="3"/>
      <c r="F68" s="3"/>
      <c r="G68" s="3"/>
      <c r="H68" s="3" t="e">
        <f>#N/A</f>
        <v>#N/A</v>
      </c>
    </row>
    <row r="69" spans="1:8" ht="15" x14ac:dyDescent="0.35">
      <c r="B69" s="14"/>
      <c r="C69" s="14"/>
      <c r="D69" s="14"/>
      <c r="E69" s="14"/>
      <c r="F69" s="14"/>
      <c r="G69" s="14"/>
      <c r="H69" s="14" t="e">
        <f>#N/A</f>
        <v>#N/A</v>
      </c>
    </row>
    <row r="70" spans="1:8" x14ac:dyDescent="0.2">
      <c r="B70" s="3"/>
      <c r="C70" s="3"/>
      <c r="D70" s="3"/>
      <c r="E70" s="3"/>
      <c r="F70" s="3"/>
      <c r="G70" s="3"/>
      <c r="H70" s="3" t="e">
        <f>#N/A</f>
        <v>#N/A</v>
      </c>
    </row>
  </sheetData>
  <mergeCells count="3">
    <mergeCell ref="A1:G1"/>
    <mergeCell ref="A34:G34"/>
    <mergeCell ref="A35:G35"/>
  </mergeCells>
  <phoneticPr fontId="0" type="noConversion"/>
  <printOptions gridLines="1"/>
  <pageMargins left="0.75" right="0.16" top="0.51" bottom="0.22" header="0.5" footer="0"/>
  <pageSetup scale="90" fitToHeight="2" orientation="landscape" r:id="rId1"/>
  <headerFooter alignWithMargins="0"/>
  <rowBreaks count="1" manualBreakCount="1">
    <brk id="33" max="6"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51"/>
  <sheetViews>
    <sheetView view="pageBreakPreview" zoomScaleNormal="100" zoomScaleSheetLayoutView="100" workbookViewId="0">
      <pane ySplit="5" topLeftCell="A326" activePane="bottomLeft" state="frozen"/>
      <selection activeCell="D43" sqref="D43"/>
      <selection pane="bottomLeft" activeCell="J6" sqref="J6:J340"/>
    </sheetView>
  </sheetViews>
  <sheetFormatPr defaultColWidth="8.85546875" defaultRowHeight="12.75" x14ac:dyDescent="0.2"/>
  <cols>
    <col min="1" max="1" width="50.140625" style="348" customWidth="1"/>
    <col min="2" max="2" width="8.85546875" style="348" customWidth="1"/>
    <col min="3" max="3" width="12.28515625" style="348" bestFit="1" customWidth="1"/>
    <col min="4" max="4" width="10.42578125" style="348" bestFit="1" customWidth="1"/>
    <col min="5" max="6" width="10.28515625" style="348" bestFit="1" customWidth="1"/>
    <col min="7" max="7" width="11.7109375" style="348" bestFit="1" customWidth="1"/>
    <col min="8" max="8" width="13.7109375" style="3" bestFit="1" customWidth="1"/>
    <col min="9" max="9" width="10.85546875" style="348" customWidth="1"/>
    <col min="10" max="10" width="10.28515625" style="348" bestFit="1" customWidth="1"/>
    <col min="11" max="16384" width="8.85546875" style="348"/>
  </cols>
  <sheetData>
    <row r="1" spans="1:10" x14ac:dyDescent="0.2">
      <c r="A1" s="562" t="str">
        <f>'SUMMARY BY FUND'!A1:J1</f>
        <v>2023-24 BUDGET</v>
      </c>
      <c r="B1" s="563"/>
      <c r="C1" s="563"/>
      <c r="D1" s="563"/>
      <c r="E1" s="563"/>
      <c r="F1" s="563"/>
      <c r="G1" s="563"/>
      <c r="H1" s="563"/>
      <c r="I1" s="563"/>
      <c r="J1" s="563"/>
    </row>
    <row r="2" spans="1:10" ht="18.75" x14ac:dyDescent="0.3">
      <c r="A2" s="202" t="s">
        <v>1888</v>
      </c>
      <c r="B2" s="202"/>
      <c r="C2" s="202"/>
      <c r="D2" s="202"/>
      <c r="E2" s="202"/>
      <c r="F2" s="202"/>
      <c r="G2" s="416"/>
      <c r="I2" s="416"/>
      <c r="J2" s="416"/>
    </row>
    <row r="3" spans="1:10" x14ac:dyDescent="0.2">
      <c r="A3" s="416"/>
      <c r="B3" s="3"/>
      <c r="C3" s="3"/>
      <c r="D3" s="3"/>
      <c r="E3" s="3"/>
      <c r="F3" s="3"/>
      <c r="G3" s="416"/>
      <c r="I3" s="416"/>
      <c r="J3" s="416"/>
    </row>
    <row r="4" spans="1:10" x14ac:dyDescent="0.2">
      <c r="A4" s="416"/>
      <c r="B4" s="3"/>
      <c r="C4" s="3"/>
      <c r="D4" s="3"/>
      <c r="E4" s="19" t="s">
        <v>250</v>
      </c>
      <c r="F4" s="19" t="s">
        <v>251</v>
      </c>
      <c r="G4" s="19" t="s">
        <v>68</v>
      </c>
      <c r="H4" s="19" t="s">
        <v>432</v>
      </c>
      <c r="I4" s="19" t="s">
        <v>338</v>
      </c>
      <c r="J4" s="19" t="s">
        <v>370</v>
      </c>
    </row>
    <row r="5" spans="1:10" ht="15" x14ac:dyDescent="0.35">
      <c r="A5" s="416"/>
      <c r="B5" s="3"/>
      <c r="C5" s="3"/>
      <c r="D5" s="3"/>
      <c r="E5" s="419" t="s">
        <v>2163</v>
      </c>
      <c r="F5" s="419" t="s">
        <v>2290</v>
      </c>
      <c r="G5" s="419" t="s">
        <v>2507</v>
      </c>
      <c r="H5" s="419" t="s">
        <v>2507</v>
      </c>
      <c r="I5" s="419" t="s">
        <v>2507</v>
      </c>
      <c r="J5" s="419" t="s">
        <v>2507</v>
      </c>
    </row>
    <row r="6" spans="1:10" ht="13.5" x14ac:dyDescent="0.25">
      <c r="A6" s="417" t="s">
        <v>870</v>
      </c>
      <c r="B6" s="3"/>
      <c r="C6" s="3"/>
      <c r="D6" s="3"/>
      <c r="E6" s="3">
        <v>42167</v>
      </c>
      <c r="F6" s="3">
        <v>43426</v>
      </c>
      <c r="G6" s="52">
        <v>44720</v>
      </c>
      <c r="H6" s="52">
        <v>44720</v>
      </c>
      <c r="I6" s="52">
        <v>44720</v>
      </c>
      <c r="J6" s="52"/>
    </row>
    <row r="7" spans="1:10" ht="15" x14ac:dyDescent="0.35">
      <c r="A7" s="416" t="s">
        <v>460</v>
      </c>
      <c r="B7" s="3">
        <v>52</v>
      </c>
      <c r="C7" s="3">
        <f>21.5*40</f>
        <v>860</v>
      </c>
      <c r="D7" s="14">
        <f>ROUND(B7*C7,0)</f>
        <v>44720</v>
      </c>
      <c r="E7" s="3"/>
      <c r="F7" s="3"/>
      <c r="G7" s="52"/>
      <c r="H7" s="52"/>
      <c r="I7" s="52"/>
      <c r="J7" s="52"/>
    </row>
    <row r="8" spans="1:10" x14ac:dyDescent="0.2">
      <c r="A8" s="416"/>
      <c r="B8" s="3"/>
      <c r="C8" s="3"/>
      <c r="D8" s="3">
        <f>SUM(D7:D7)</f>
        <v>44720</v>
      </c>
      <c r="E8" s="3"/>
      <c r="F8" s="3"/>
      <c r="G8" s="52"/>
      <c r="H8" s="52"/>
      <c r="I8" s="52"/>
      <c r="J8" s="52"/>
    </row>
    <row r="9" spans="1:10" x14ac:dyDescent="0.2">
      <c r="A9" s="416"/>
      <c r="B9" s="3"/>
      <c r="C9" s="3"/>
      <c r="D9" s="3"/>
      <c r="E9" s="3"/>
      <c r="F9" s="3"/>
      <c r="G9" s="52"/>
      <c r="H9" s="52"/>
      <c r="I9" s="52"/>
      <c r="J9" s="52"/>
    </row>
    <row r="10" spans="1:10" ht="13.5" x14ac:dyDescent="0.25">
      <c r="A10" s="417" t="s">
        <v>817</v>
      </c>
      <c r="B10" s="3"/>
      <c r="C10" s="3"/>
      <c r="D10" s="3"/>
      <c r="E10" s="3">
        <v>591129</v>
      </c>
      <c r="F10" s="3">
        <v>599421</v>
      </c>
      <c r="G10" s="52">
        <v>609094</v>
      </c>
      <c r="H10" s="52">
        <v>609094</v>
      </c>
      <c r="I10" s="52">
        <v>614868</v>
      </c>
      <c r="J10" s="52"/>
    </row>
    <row r="11" spans="1:10" x14ac:dyDescent="0.2">
      <c r="A11" s="416" t="s">
        <v>1994</v>
      </c>
      <c r="B11" s="3">
        <v>52</v>
      </c>
      <c r="C11" s="3">
        <v>1940.4</v>
      </c>
      <c r="D11" s="3">
        <f t="shared" ref="D11:D18" si="0">ROUND(B11*C11,0)</f>
        <v>100901</v>
      </c>
      <c r="E11" s="3"/>
      <c r="F11" s="3"/>
      <c r="G11" s="52"/>
      <c r="H11" s="52"/>
      <c r="I11" s="52"/>
      <c r="J11" s="52"/>
    </row>
    <row r="12" spans="1:10" x14ac:dyDescent="0.2">
      <c r="A12" s="224" t="s">
        <v>818</v>
      </c>
      <c r="B12" s="3">
        <v>52</v>
      </c>
      <c r="C12" s="3">
        <f>45.02*40</f>
        <v>1800.8000000000002</v>
      </c>
      <c r="D12" s="3">
        <f t="shared" si="0"/>
        <v>93642</v>
      </c>
      <c r="E12" s="1"/>
      <c r="F12" s="1"/>
      <c r="G12" s="240"/>
      <c r="H12" s="240"/>
      <c r="I12" s="240"/>
      <c r="J12" s="240"/>
    </row>
    <row r="13" spans="1:10" x14ac:dyDescent="0.2">
      <c r="A13" s="416" t="s">
        <v>2159</v>
      </c>
      <c r="B13" s="3">
        <v>52</v>
      </c>
      <c r="C13" s="3">
        <f>30.54*40</f>
        <v>1221.5999999999999</v>
      </c>
      <c r="D13" s="3">
        <f t="shared" si="0"/>
        <v>63523</v>
      </c>
      <c r="E13" s="1"/>
      <c r="F13" s="1"/>
      <c r="G13" s="240"/>
      <c r="H13" s="240"/>
      <c r="I13" s="240"/>
      <c r="J13" s="240"/>
    </row>
    <row r="14" spans="1:10" x14ac:dyDescent="0.2">
      <c r="A14" s="224" t="s">
        <v>1936</v>
      </c>
      <c r="B14" s="3">
        <v>52</v>
      </c>
      <c r="C14" s="3">
        <v>1403.17</v>
      </c>
      <c r="D14" s="3">
        <f t="shared" si="0"/>
        <v>72965</v>
      </c>
      <c r="E14" s="3"/>
      <c r="F14" s="3"/>
      <c r="G14" s="52"/>
      <c r="H14" s="52"/>
      <c r="I14" s="52"/>
      <c r="J14" s="52"/>
    </row>
    <row r="15" spans="1:10" x14ac:dyDescent="0.2">
      <c r="A15" s="224" t="s">
        <v>819</v>
      </c>
      <c r="B15" s="3">
        <v>52</v>
      </c>
      <c r="C15" s="3">
        <f>36.52*40</f>
        <v>1460.8000000000002</v>
      </c>
      <c r="D15" s="3">
        <f t="shared" si="0"/>
        <v>75962</v>
      </c>
      <c r="E15" s="3"/>
      <c r="F15" s="3"/>
      <c r="G15" s="52"/>
      <c r="H15" s="52"/>
      <c r="I15" s="52"/>
      <c r="J15" s="52"/>
    </row>
    <row r="16" spans="1:10" x14ac:dyDescent="0.2">
      <c r="A16" s="224" t="s">
        <v>259</v>
      </c>
      <c r="B16" s="3">
        <v>52</v>
      </c>
      <c r="C16" s="3">
        <f>36.23*40</f>
        <v>1449.1999999999998</v>
      </c>
      <c r="D16" s="3">
        <f t="shared" si="0"/>
        <v>75358</v>
      </c>
      <c r="E16" s="3"/>
      <c r="F16" s="3"/>
      <c r="G16" s="52"/>
      <c r="H16" s="52"/>
      <c r="I16" s="52"/>
      <c r="J16" s="52"/>
    </row>
    <row r="17" spans="1:10" x14ac:dyDescent="0.2">
      <c r="A17" s="224" t="s">
        <v>1937</v>
      </c>
      <c r="B17" s="3">
        <v>52</v>
      </c>
      <c r="C17" s="3">
        <v>1221.73</v>
      </c>
      <c r="D17" s="3">
        <f t="shared" si="0"/>
        <v>63530</v>
      </c>
      <c r="E17" s="3"/>
      <c r="F17" s="3"/>
      <c r="G17" s="52"/>
      <c r="H17" s="52"/>
      <c r="I17" s="52"/>
      <c r="J17" s="52"/>
    </row>
    <row r="18" spans="1:10" x14ac:dyDescent="0.2">
      <c r="A18" s="416" t="s">
        <v>1628</v>
      </c>
      <c r="B18" s="3">
        <v>52</v>
      </c>
      <c r="C18" s="3">
        <v>1319.45</v>
      </c>
      <c r="D18" s="3">
        <f t="shared" si="0"/>
        <v>68611</v>
      </c>
      <c r="E18" s="3"/>
      <c r="F18" s="3"/>
      <c r="G18" s="52"/>
      <c r="H18" s="52"/>
      <c r="I18" s="52"/>
      <c r="J18" s="52"/>
    </row>
    <row r="19" spans="1:10" ht="15" x14ac:dyDescent="0.35">
      <c r="A19" s="416" t="s">
        <v>1039</v>
      </c>
      <c r="B19" s="3" t="s">
        <v>418</v>
      </c>
      <c r="C19" s="3" t="s">
        <v>418</v>
      </c>
      <c r="D19" s="14">
        <v>376</v>
      </c>
      <c r="E19" s="3"/>
      <c r="F19" s="3"/>
      <c r="G19" s="52"/>
      <c r="H19" s="52"/>
      <c r="I19" s="52"/>
      <c r="J19" s="52"/>
    </row>
    <row r="20" spans="1:10" x14ac:dyDescent="0.2">
      <c r="A20" s="416" t="s">
        <v>1320</v>
      </c>
      <c r="B20" s="3"/>
      <c r="C20" s="3"/>
      <c r="D20" s="3">
        <f>SUM(D11:D19)</f>
        <v>614868</v>
      </c>
      <c r="E20" s="3"/>
      <c r="F20" s="3"/>
      <c r="G20" s="52"/>
      <c r="H20" s="52"/>
      <c r="I20" s="52"/>
      <c r="J20" s="52"/>
    </row>
    <row r="21" spans="1:10" x14ac:dyDescent="0.2">
      <c r="A21" s="416"/>
      <c r="B21" s="3"/>
      <c r="C21" s="3"/>
      <c r="D21" s="3"/>
      <c r="E21" s="3"/>
      <c r="F21" s="3"/>
      <c r="G21" s="52"/>
      <c r="H21" s="52"/>
      <c r="I21" s="52"/>
      <c r="J21" s="52"/>
    </row>
    <row r="22" spans="1:10" ht="13.5" x14ac:dyDescent="0.25">
      <c r="A22" s="417" t="s">
        <v>1440</v>
      </c>
      <c r="B22" s="3"/>
      <c r="C22" s="3"/>
      <c r="D22" s="3"/>
      <c r="E22" s="3">
        <v>565528</v>
      </c>
      <c r="F22" s="3">
        <v>677431</v>
      </c>
      <c r="G22" s="3">
        <v>683641</v>
      </c>
      <c r="H22" s="3">
        <v>683641</v>
      </c>
      <c r="I22" s="3">
        <v>683641</v>
      </c>
      <c r="J22" s="3"/>
    </row>
    <row r="23" spans="1:10" x14ac:dyDescent="0.2">
      <c r="A23" s="386" t="s">
        <v>1434</v>
      </c>
      <c r="B23" s="3">
        <v>52</v>
      </c>
      <c r="C23" s="224">
        <v>1004</v>
      </c>
      <c r="D23" s="3">
        <f t="shared" ref="D23:D35" si="1">ROUND(B23*C23,0)</f>
        <v>52208</v>
      </c>
      <c r="E23" s="3"/>
      <c r="F23" s="3"/>
      <c r="G23" s="3"/>
      <c r="I23" s="3"/>
      <c r="J23" s="3"/>
    </row>
    <row r="24" spans="1:10" x14ac:dyDescent="0.2">
      <c r="A24" s="386" t="s">
        <v>1434</v>
      </c>
      <c r="B24" s="3">
        <v>52</v>
      </c>
      <c r="C24" s="506">
        <f>26.09*40</f>
        <v>1043.5999999999999</v>
      </c>
      <c r="D24" s="3">
        <f t="shared" si="1"/>
        <v>54267</v>
      </c>
      <c r="E24" s="3"/>
      <c r="F24" s="3"/>
      <c r="G24" s="3"/>
      <c r="I24" s="3"/>
      <c r="J24" s="3"/>
    </row>
    <row r="25" spans="1:10" x14ac:dyDescent="0.2">
      <c r="A25" s="386" t="s">
        <v>1434</v>
      </c>
      <c r="B25" s="3">
        <v>52</v>
      </c>
      <c r="C25" s="506">
        <f>24.22*40</f>
        <v>968.8</v>
      </c>
      <c r="D25" s="3">
        <f t="shared" si="1"/>
        <v>50378</v>
      </c>
      <c r="E25" s="3"/>
      <c r="F25" s="3"/>
      <c r="G25" s="3"/>
      <c r="I25" s="3"/>
      <c r="J25" s="3"/>
    </row>
    <row r="26" spans="1:10" x14ac:dyDescent="0.2">
      <c r="A26" s="386" t="s">
        <v>1434</v>
      </c>
      <c r="B26" s="3">
        <v>52</v>
      </c>
      <c r="C26" s="506">
        <f>25.11*40</f>
        <v>1004.4</v>
      </c>
      <c r="D26" s="3">
        <f t="shared" si="1"/>
        <v>52229</v>
      </c>
      <c r="E26" s="3"/>
      <c r="F26" s="3"/>
      <c r="G26" s="3"/>
      <c r="I26" s="3"/>
      <c r="J26" s="3"/>
    </row>
    <row r="27" spans="1:10" x14ac:dyDescent="0.2">
      <c r="A27" s="386" t="s">
        <v>1843</v>
      </c>
      <c r="B27" s="3">
        <v>52</v>
      </c>
      <c r="C27" s="224">
        <v>1095</v>
      </c>
      <c r="D27" s="3">
        <f t="shared" si="1"/>
        <v>56940</v>
      </c>
      <c r="E27" s="3"/>
      <c r="F27" s="3"/>
      <c r="G27" s="3"/>
      <c r="I27" s="3"/>
      <c r="J27" s="3"/>
    </row>
    <row r="28" spans="1:10" x14ac:dyDescent="0.2">
      <c r="A28" s="386" t="s">
        <v>1843</v>
      </c>
      <c r="B28" s="3">
        <v>52</v>
      </c>
      <c r="C28" s="224">
        <v>1008</v>
      </c>
      <c r="D28" s="3">
        <f t="shared" si="1"/>
        <v>52416</v>
      </c>
      <c r="E28" s="3"/>
      <c r="F28" s="3"/>
      <c r="G28" s="3"/>
      <c r="I28" s="3"/>
      <c r="J28" s="3"/>
    </row>
    <row r="29" spans="1:10" x14ac:dyDescent="0.2">
      <c r="A29" s="386" t="s">
        <v>1843</v>
      </c>
      <c r="B29" s="3">
        <v>52</v>
      </c>
      <c r="C29" s="224">
        <v>1095</v>
      </c>
      <c r="D29" s="3">
        <f t="shared" si="1"/>
        <v>56940</v>
      </c>
      <c r="E29" s="3"/>
      <c r="F29" s="3"/>
      <c r="G29" s="3"/>
      <c r="I29" s="3"/>
      <c r="J29" s="3"/>
    </row>
    <row r="30" spans="1:10" x14ac:dyDescent="0.2">
      <c r="A30" s="386" t="s">
        <v>1843</v>
      </c>
      <c r="B30" s="3">
        <v>52</v>
      </c>
      <c r="C30" s="224">
        <v>1008</v>
      </c>
      <c r="D30" s="3">
        <f t="shared" si="1"/>
        <v>52416</v>
      </c>
      <c r="E30" s="3"/>
      <c r="F30" s="3"/>
      <c r="G30" s="3"/>
      <c r="I30" s="3"/>
      <c r="J30" s="3"/>
    </row>
    <row r="31" spans="1:10" x14ac:dyDescent="0.2">
      <c r="A31" s="386" t="s">
        <v>1811</v>
      </c>
      <c r="B31" s="3">
        <v>52</v>
      </c>
      <c r="C31" s="506">
        <f>23.86*40</f>
        <v>954.4</v>
      </c>
      <c r="D31" s="3">
        <f t="shared" si="1"/>
        <v>49629</v>
      </c>
      <c r="E31" s="3"/>
      <c r="F31" s="3"/>
      <c r="G31" s="3"/>
      <c r="I31" s="3"/>
      <c r="J31" s="3"/>
    </row>
    <row r="32" spans="1:10" x14ac:dyDescent="0.2">
      <c r="A32" s="386" t="s">
        <v>1811</v>
      </c>
      <c r="B32" s="3">
        <v>52</v>
      </c>
      <c r="C32" s="506">
        <f>20.59*40</f>
        <v>823.6</v>
      </c>
      <c r="D32" s="3">
        <f t="shared" si="1"/>
        <v>42827</v>
      </c>
      <c r="E32" s="3"/>
      <c r="F32" s="3"/>
      <c r="G32" s="3"/>
      <c r="I32" s="3"/>
      <c r="J32" s="3"/>
    </row>
    <row r="33" spans="1:10" x14ac:dyDescent="0.2">
      <c r="A33" s="386" t="s">
        <v>1811</v>
      </c>
      <c r="B33" s="3">
        <v>52</v>
      </c>
      <c r="C33" s="224">
        <f>21.95*40</f>
        <v>878</v>
      </c>
      <c r="D33" s="3">
        <f t="shared" si="1"/>
        <v>45656</v>
      </c>
      <c r="E33" s="3"/>
      <c r="F33" s="3"/>
      <c r="G33" s="3"/>
      <c r="I33" s="3"/>
      <c r="J33" s="3"/>
    </row>
    <row r="34" spans="1:10" x14ac:dyDescent="0.2">
      <c r="A34" s="386" t="s">
        <v>1812</v>
      </c>
      <c r="B34" s="3">
        <v>52</v>
      </c>
      <c r="C34" s="506">
        <f>24.12*40</f>
        <v>964.80000000000007</v>
      </c>
      <c r="D34" s="3">
        <f t="shared" si="1"/>
        <v>50170</v>
      </c>
      <c r="E34" s="3"/>
      <c r="F34" s="3"/>
      <c r="G34" s="3"/>
      <c r="I34" s="3"/>
      <c r="J34" s="3"/>
    </row>
    <row r="35" spans="1:10" x14ac:dyDescent="0.2">
      <c r="A35" s="386" t="s">
        <v>2020</v>
      </c>
      <c r="B35" s="3">
        <v>52</v>
      </c>
      <c r="C35" s="506">
        <f>27.37*40</f>
        <v>1094.8</v>
      </c>
      <c r="D35" s="3">
        <f t="shared" si="1"/>
        <v>56930</v>
      </c>
      <c r="E35" s="3"/>
      <c r="F35" s="3"/>
      <c r="G35" s="3"/>
      <c r="I35" s="3"/>
      <c r="J35" s="3"/>
    </row>
    <row r="36" spans="1:10" x14ac:dyDescent="0.2">
      <c r="A36" s="416" t="s">
        <v>1039</v>
      </c>
      <c r="B36" s="3"/>
      <c r="C36" s="3"/>
      <c r="D36" s="3">
        <v>1483</v>
      </c>
      <c r="E36" s="3"/>
      <c r="F36" s="3"/>
      <c r="G36" s="3"/>
      <c r="I36" s="3"/>
      <c r="J36" s="3"/>
    </row>
    <row r="37" spans="1:10" ht="15" x14ac:dyDescent="0.35">
      <c r="A37" s="416" t="s">
        <v>1221</v>
      </c>
      <c r="B37" s="3">
        <v>9152</v>
      </c>
      <c r="C37" s="15">
        <v>1</v>
      </c>
      <c r="D37" s="14">
        <f>ROUND(B37*C37,0)</f>
        <v>9152</v>
      </c>
      <c r="E37" s="3"/>
      <c r="F37" s="3"/>
      <c r="G37" s="3"/>
      <c r="I37" s="3"/>
      <c r="J37" s="3"/>
    </row>
    <row r="38" spans="1:10" x14ac:dyDescent="0.2">
      <c r="A38" s="416" t="s">
        <v>1320</v>
      </c>
      <c r="B38" s="3"/>
      <c r="C38" s="3"/>
      <c r="D38" s="3">
        <f>SUM(D23:D37)</f>
        <v>683641</v>
      </c>
      <c r="E38" s="3"/>
      <c r="F38" s="3"/>
      <c r="G38" s="3"/>
      <c r="I38" s="3"/>
      <c r="J38" s="3"/>
    </row>
    <row r="39" spans="1:10" x14ac:dyDescent="0.2">
      <c r="A39" s="416"/>
      <c r="B39" s="416"/>
      <c r="C39" s="70"/>
      <c r="D39" s="3"/>
      <c r="E39" s="3"/>
      <c r="F39" s="3"/>
      <c r="G39" s="3"/>
      <c r="I39" s="3"/>
      <c r="J39" s="3"/>
    </row>
    <row r="40" spans="1:10" ht="13.5" x14ac:dyDescent="0.25">
      <c r="A40" s="417" t="s">
        <v>1494</v>
      </c>
      <c r="B40" s="15"/>
      <c r="C40" s="416"/>
      <c r="D40" s="3"/>
      <c r="E40" s="3">
        <v>42094</v>
      </c>
      <c r="F40" s="3">
        <v>9709</v>
      </c>
      <c r="G40" s="3">
        <v>9921</v>
      </c>
      <c r="H40" s="3">
        <v>9921</v>
      </c>
      <c r="I40" s="3">
        <v>9921</v>
      </c>
      <c r="J40" s="3"/>
    </row>
    <row r="41" spans="1:10" x14ac:dyDescent="0.2">
      <c r="A41" s="416" t="s">
        <v>800</v>
      </c>
      <c r="B41" s="3" t="s">
        <v>418</v>
      </c>
      <c r="C41" s="15" t="s">
        <v>418</v>
      </c>
      <c r="D41" s="3" t="s">
        <v>418</v>
      </c>
      <c r="E41" s="3"/>
      <c r="F41" s="3"/>
      <c r="G41" s="3"/>
      <c r="I41" s="3"/>
      <c r="J41" s="3"/>
    </row>
    <row r="42" spans="1:10" x14ac:dyDescent="0.2">
      <c r="A42" s="416" t="s">
        <v>1299</v>
      </c>
      <c r="B42" s="3">
        <v>185.5</v>
      </c>
      <c r="C42" s="15">
        <f>SUM(C12:C17)/40/6*1.5</f>
        <v>53.483124999999987</v>
      </c>
      <c r="D42" s="3">
        <f>+C42*B42</f>
        <v>9921.1196874999969</v>
      </c>
      <c r="E42" s="3"/>
      <c r="F42" s="3"/>
      <c r="G42" s="3"/>
      <c r="I42" s="3"/>
      <c r="J42" s="3"/>
    </row>
    <row r="43" spans="1:10" x14ac:dyDescent="0.2">
      <c r="A43" s="416"/>
      <c r="B43" s="3"/>
      <c r="C43" s="15"/>
      <c r="D43" s="3"/>
      <c r="E43" s="3"/>
      <c r="F43" s="3"/>
      <c r="G43" s="3"/>
      <c r="I43" s="3"/>
      <c r="J43" s="3"/>
    </row>
    <row r="44" spans="1:10" ht="13.5" x14ac:dyDescent="0.25">
      <c r="A44" s="417" t="s">
        <v>486</v>
      </c>
      <c r="B44" s="416"/>
      <c r="C44" s="416"/>
      <c r="D44" s="3"/>
      <c r="E44" s="3">
        <v>22170</v>
      </c>
      <c r="F44" s="3">
        <v>39772</v>
      </c>
      <c r="G44" s="3">
        <v>45452</v>
      </c>
      <c r="H44" s="3">
        <v>45452</v>
      </c>
      <c r="I44" s="3">
        <v>45150</v>
      </c>
      <c r="J44" s="3"/>
    </row>
    <row r="45" spans="1:10" x14ac:dyDescent="0.2">
      <c r="A45" s="416" t="s">
        <v>60</v>
      </c>
      <c r="B45" s="3">
        <v>640</v>
      </c>
      <c r="C45" s="15">
        <v>17.89</v>
      </c>
      <c r="D45" s="3">
        <f>ROUND(B45*C45,0)</f>
        <v>11450</v>
      </c>
      <c r="E45" s="3"/>
      <c r="F45" s="3"/>
      <c r="G45" s="3"/>
      <c r="I45" s="3"/>
      <c r="J45" s="3"/>
    </row>
    <row r="46" spans="1:10" x14ac:dyDescent="0.2">
      <c r="A46" s="491" t="s">
        <v>2578</v>
      </c>
      <c r="B46" s="3">
        <v>1200</v>
      </c>
      <c r="C46" s="15">
        <v>15</v>
      </c>
      <c r="D46" s="3">
        <f>+B46*C46</f>
        <v>18000</v>
      </c>
      <c r="E46" s="3"/>
      <c r="F46" s="3"/>
      <c r="G46" s="3"/>
      <c r="I46" s="3"/>
      <c r="J46" s="3"/>
    </row>
    <row r="47" spans="1:10" x14ac:dyDescent="0.2">
      <c r="A47" s="491" t="s">
        <v>1969</v>
      </c>
      <c r="B47" s="3"/>
      <c r="C47" s="15"/>
      <c r="D47" s="3"/>
      <c r="E47" s="3"/>
      <c r="F47" s="3"/>
      <c r="G47" s="3"/>
      <c r="I47" s="3"/>
      <c r="J47" s="3"/>
    </row>
    <row r="48" spans="1:10" x14ac:dyDescent="0.2">
      <c r="A48" s="491" t="s">
        <v>1970</v>
      </c>
      <c r="B48" s="3">
        <v>1248</v>
      </c>
      <c r="C48" s="15">
        <v>12.58</v>
      </c>
      <c r="D48" s="4">
        <f>ROUND(B48*C48,0)</f>
        <v>15700</v>
      </c>
      <c r="E48" s="3"/>
      <c r="F48" s="3"/>
      <c r="G48" s="3"/>
      <c r="I48" s="3"/>
      <c r="J48" s="3"/>
    </row>
    <row r="49" spans="1:10" ht="15" x14ac:dyDescent="0.35">
      <c r="A49" s="491"/>
      <c r="B49" s="3"/>
      <c r="C49" s="15"/>
      <c r="D49" s="33">
        <f>ROUND(B49*C49,0)</f>
        <v>0</v>
      </c>
      <c r="E49" s="3"/>
      <c r="F49" s="3"/>
      <c r="G49" s="3"/>
      <c r="I49" s="3"/>
      <c r="J49" s="3"/>
    </row>
    <row r="50" spans="1:10" x14ac:dyDescent="0.2">
      <c r="A50" s="491"/>
      <c r="B50" s="3"/>
      <c r="C50" s="15"/>
      <c r="D50" s="4">
        <f>SUM(D45:D49)</f>
        <v>45150</v>
      </c>
      <c r="E50" s="3"/>
      <c r="F50" s="3"/>
      <c r="G50" s="3"/>
      <c r="I50" s="3"/>
      <c r="J50" s="3"/>
    </row>
    <row r="51" spans="1:10" ht="13.5" x14ac:dyDescent="0.25">
      <c r="A51" s="494" t="s">
        <v>1069</v>
      </c>
      <c r="B51" s="491"/>
      <c r="C51" s="491"/>
      <c r="D51" s="3"/>
      <c r="E51" s="3">
        <v>56220</v>
      </c>
      <c r="F51" s="3">
        <v>84288</v>
      </c>
      <c r="G51" s="3">
        <v>85109</v>
      </c>
      <c r="H51" s="3">
        <v>85109</v>
      </c>
      <c r="I51" s="3">
        <v>85335</v>
      </c>
      <c r="J51" s="3"/>
    </row>
    <row r="52" spans="1:10" x14ac:dyDescent="0.2">
      <c r="A52" s="491" t="s">
        <v>220</v>
      </c>
      <c r="B52" s="3" t="s">
        <v>418</v>
      </c>
      <c r="C52" s="15" t="s">
        <v>418</v>
      </c>
      <c r="D52" s="3" t="s">
        <v>418</v>
      </c>
      <c r="E52" s="3"/>
      <c r="F52" s="3"/>
      <c r="G52" s="3"/>
      <c r="I52" s="3"/>
      <c r="J52" s="3"/>
    </row>
    <row r="53" spans="1:10" x14ac:dyDescent="0.2">
      <c r="A53" s="491" t="s">
        <v>1629</v>
      </c>
      <c r="B53" s="3">
        <v>1881.54</v>
      </c>
      <c r="C53" s="15">
        <f>+SUM(C16:C35)/40/14*1.5</f>
        <v>45.355660714285705</v>
      </c>
      <c r="D53" s="3">
        <f>+C53*B53</f>
        <v>85338.48986035712</v>
      </c>
      <c r="E53" s="3"/>
      <c r="F53" s="3"/>
      <c r="G53" s="3"/>
      <c r="I53" s="3"/>
      <c r="J53" s="3"/>
    </row>
    <row r="54" spans="1:10" x14ac:dyDescent="0.2">
      <c r="A54" s="491"/>
      <c r="B54" s="3"/>
      <c r="C54" s="15"/>
      <c r="D54" s="3"/>
      <c r="E54" s="3"/>
      <c r="F54" s="3"/>
      <c r="G54" s="3"/>
      <c r="I54" s="3"/>
      <c r="J54" s="3"/>
    </row>
    <row r="55" spans="1:10" ht="13.5" x14ac:dyDescent="0.25">
      <c r="A55" s="494" t="s">
        <v>704</v>
      </c>
      <c r="B55" s="491"/>
      <c r="C55" s="491"/>
      <c r="D55" s="3"/>
      <c r="E55" s="3">
        <v>100705</v>
      </c>
      <c r="F55" s="3">
        <v>111235</v>
      </c>
      <c r="G55" s="3">
        <v>113063</v>
      </c>
      <c r="H55" s="3">
        <v>113063</v>
      </c>
      <c r="I55" s="3">
        <v>113498</v>
      </c>
      <c r="J55" s="3"/>
    </row>
    <row r="56" spans="1:10" x14ac:dyDescent="0.2">
      <c r="A56" s="16" t="s">
        <v>965</v>
      </c>
      <c r="B56" s="3">
        <f>+D7</f>
        <v>44720</v>
      </c>
      <c r="C56" s="17">
        <v>7.6499999999999999E-2</v>
      </c>
      <c r="D56" s="3">
        <f t="shared" ref="D56:D61" si="2">ROUND(B56*C56,0)</f>
        <v>3421</v>
      </c>
      <c r="E56" s="3"/>
      <c r="F56" s="3"/>
      <c r="G56" s="3"/>
      <c r="I56" s="3"/>
      <c r="J56" s="3"/>
    </row>
    <row r="57" spans="1:10" x14ac:dyDescent="0.2">
      <c r="A57" s="16" t="s">
        <v>1536</v>
      </c>
      <c r="B57" s="3">
        <f>+D20</f>
        <v>614868</v>
      </c>
      <c r="C57" s="17">
        <v>7.6499999999999999E-2</v>
      </c>
      <c r="D57" s="3">
        <f t="shared" si="2"/>
        <v>47037</v>
      </c>
      <c r="E57" s="3"/>
      <c r="F57" s="3"/>
      <c r="G57" s="3"/>
      <c r="I57" s="3"/>
      <c r="J57" s="3"/>
    </row>
    <row r="58" spans="1:10" x14ac:dyDescent="0.2">
      <c r="A58" s="16" t="s">
        <v>883</v>
      </c>
      <c r="B58" s="3">
        <f>+D38</f>
        <v>683641</v>
      </c>
      <c r="C58" s="17">
        <v>7.6499999999999999E-2</v>
      </c>
      <c r="D58" s="3">
        <f t="shared" si="2"/>
        <v>52299</v>
      </c>
      <c r="E58" s="3"/>
      <c r="F58" s="3"/>
      <c r="G58" s="3"/>
      <c r="I58" s="3"/>
      <c r="J58" s="3"/>
    </row>
    <row r="59" spans="1:10" x14ac:dyDescent="0.2">
      <c r="A59" s="16" t="s">
        <v>966</v>
      </c>
      <c r="B59" s="3">
        <f>+D42</f>
        <v>9921.1196874999969</v>
      </c>
      <c r="C59" s="17">
        <v>7.6499999999999999E-2</v>
      </c>
      <c r="D59" s="3">
        <f t="shared" si="2"/>
        <v>759</v>
      </c>
      <c r="E59" s="3"/>
      <c r="F59" s="3"/>
      <c r="G59" s="3"/>
      <c r="I59" s="3"/>
      <c r="J59" s="3"/>
    </row>
    <row r="60" spans="1:10" x14ac:dyDescent="0.2">
      <c r="A60" s="16" t="s">
        <v>196</v>
      </c>
      <c r="B60" s="3">
        <f>+D50</f>
        <v>45150</v>
      </c>
      <c r="C60" s="17">
        <v>7.6499999999999999E-2</v>
      </c>
      <c r="D60" s="3">
        <f t="shared" si="2"/>
        <v>3454</v>
      </c>
      <c r="E60" s="3"/>
      <c r="F60" s="3"/>
      <c r="G60" s="3"/>
      <c r="I60" s="3"/>
      <c r="J60" s="3"/>
    </row>
    <row r="61" spans="1:10" ht="15" x14ac:dyDescent="0.35">
      <c r="A61" s="16" t="s">
        <v>197</v>
      </c>
      <c r="B61" s="3">
        <f>+D53</f>
        <v>85338.48986035712</v>
      </c>
      <c r="C61" s="17">
        <v>7.6499999999999999E-2</v>
      </c>
      <c r="D61" s="14">
        <f t="shared" si="2"/>
        <v>6528</v>
      </c>
      <c r="E61" s="3"/>
      <c r="F61" s="3"/>
      <c r="G61" s="3"/>
      <c r="I61" s="3"/>
      <c r="J61" s="3"/>
    </row>
    <row r="62" spans="1:10" x14ac:dyDescent="0.2">
      <c r="A62" s="491" t="s">
        <v>1320</v>
      </c>
      <c r="B62" s="491"/>
      <c r="C62" s="491"/>
      <c r="D62" s="3">
        <f>SUM(D56:D61)</f>
        <v>113498</v>
      </c>
      <c r="E62" s="3"/>
      <c r="F62" s="3"/>
      <c r="G62" s="3"/>
      <c r="I62" s="3"/>
      <c r="J62" s="3"/>
    </row>
    <row r="63" spans="1:10" x14ac:dyDescent="0.2">
      <c r="A63" s="491"/>
      <c r="B63" s="491"/>
      <c r="C63" s="491"/>
      <c r="D63" s="3"/>
      <c r="E63" s="3"/>
      <c r="F63" s="3"/>
      <c r="G63" s="3"/>
      <c r="I63" s="3"/>
      <c r="J63" s="3"/>
    </row>
    <row r="64" spans="1:10" ht="13.5" x14ac:dyDescent="0.25">
      <c r="A64" s="494" t="s">
        <v>1222</v>
      </c>
      <c r="B64" s="491"/>
      <c r="C64" s="491"/>
      <c r="D64" s="3"/>
      <c r="E64" s="3">
        <v>181472</v>
      </c>
      <c r="F64" s="3">
        <v>198848</v>
      </c>
      <c r="G64" s="3">
        <v>193815</v>
      </c>
      <c r="H64" s="3">
        <v>193815</v>
      </c>
      <c r="I64" s="3">
        <v>194628</v>
      </c>
      <c r="J64" s="3"/>
    </row>
    <row r="65" spans="1:10" x14ac:dyDescent="0.2">
      <c r="A65" s="27">
        <v>8102</v>
      </c>
      <c r="B65" s="3">
        <f>+B56</f>
        <v>44720</v>
      </c>
      <c r="C65" s="507">
        <v>0.1353</v>
      </c>
      <c r="D65" s="3">
        <f>ROUND(B65*C65,0)</f>
        <v>6051</v>
      </c>
      <c r="E65" s="3"/>
      <c r="F65" s="3"/>
      <c r="G65" s="3"/>
      <c r="I65" s="3"/>
      <c r="J65" s="3"/>
    </row>
    <row r="66" spans="1:10" x14ac:dyDescent="0.2">
      <c r="A66" s="16" t="s">
        <v>1536</v>
      </c>
      <c r="B66" s="3">
        <f>+B57</f>
        <v>614868</v>
      </c>
      <c r="C66" s="507">
        <v>0.1353</v>
      </c>
      <c r="D66" s="3">
        <f>ROUND(B66*C66,0)</f>
        <v>83192</v>
      </c>
      <c r="E66" s="3"/>
      <c r="F66" s="3"/>
      <c r="G66" s="3"/>
      <c r="I66" s="3"/>
      <c r="J66" s="3"/>
    </row>
    <row r="67" spans="1:10" x14ac:dyDescent="0.2">
      <c r="A67" s="27">
        <v>8104</v>
      </c>
      <c r="B67" s="3">
        <f>+B58</f>
        <v>683641</v>
      </c>
      <c r="C67" s="507">
        <v>0.1353</v>
      </c>
      <c r="D67" s="3">
        <f>ROUND(B67*C67,0)</f>
        <v>92497</v>
      </c>
      <c r="E67" s="3"/>
      <c r="F67" s="3"/>
      <c r="G67" s="3"/>
      <c r="I67" s="3"/>
      <c r="J67" s="3"/>
    </row>
    <row r="68" spans="1:10" x14ac:dyDescent="0.2">
      <c r="A68" s="16" t="s">
        <v>966</v>
      </c>
      <c r="B68" s="3">
        <f>+B59</f>
        <v>9921.1196874999969</v>
      </c>
      <c r="C68" s="507">
        <v>0.1353</v>
      </c>
      <c r="D68" s="3">
        <f>ROUND(B68*C68,0)</f>
        <v>1342</v>
      </c>
      <c r="E68" s="3"/>
      <c r="F68" s="3"/>
      <c r="G68" s="3"/>
      <c r="I68" s="3"/>
      <c r="J68" s="3"/>
    </row>
    <row r="69" spans="1:10" ht="15" x14ac:dyDescent="0.35">
      <c r="A69" s="36" t="s">
        <v>197</v>
      </c>
      <c r="B69" s="3">
        <f>+B61</f>
        <v>85338.48986035712</v>
      </c>
      <c r="C69" s="507">
        <v>0.1353</v>
      </c>
      <c r="D69" s="14">
        <f>ROUND(B69*C69,0)</f>
        <v>11546</v>
      </c>
      <c r="E69" s="3"/>
      <c r="F69" s="3"/>
      <c r="G69" s="3"/>
      <c r="I69" s="3"/>
      <c r="J69" s="3"/>
    </row>
    <row r="70" spans="1:10" x14ac:dyDescent="0.2">
      <c r="A70" s="491" t="s">
        <v>1320</v>
      </c>
      <c r="B70" s="491"/>
      <c r="C70" s="491"/>
      <c r="D70" s="3">
        <f>SUM(D65:D69)</f>
        <v>194628</v>
      </c>
      <c r="E70" s="3"/>
      <c r="F70" s="3"/>
      <c r="G70" s="3"/>
      <c r="I70" s="3"/>
      <c r="J70" s="3"/>
    </row>
    <row r="71" spans="1:10" x14ac:dyDescent="0.2">
      <c r="A71" s="491"/>
      <c r="B71" s="491"/>
      <c r="C71" s="491"/>
      <c r="D71" s="3"/>
      <c r="E71" s="3"/>
      <c r="F71" s="3"/>
      <c r="G71" s="3"/>
      <c r="I71" s="3"/>
      <c r="J71" s="3"/>
    </row>
    <row r="72" spans="1:10" ht="13.5" x14ac:dyDescent="0.25">
      <c r="A72" s="494" t="s">
        <v>713</v>
      </c>
      <c r="B72" s="491"/>
      <c r="C72" s="491"/>
      <c r="D72" s="3"/>
      <c r="E72" s="3">
        <v>375003</v>
      </c>
      <c r="F72" s="3">
        <v>418000</v>
      </c>
      <c r="G72" s="3">
        <v>445500</v>
      </c>
      <c r="H72" s="3">
        <v>445500</v>
      </c>
      <c r="I72" s="3">
        <v>445500</v>
      </c>
      <c r="J72" s="3"/>
    </row>
    <row r="73" spans="1:10" hidden="1" x14ac:dyDescent="0.2">
      <c r="A73" s="491" t="s">
        <v>322</v>
      </c>
      <c r="B73" s="3">
        <v>14</v>
      </c>
      <c r="C73" s="3">
        <v>20250</v>
      </c>
      <c r="D73" s="3">
        <f>ROUND(B73*C73,0)</f>
        <v>283500</v>
      </c>
      <c r="E73" s="3"/>
      <c r="F73" s="3"/>
      <c r="G73" s="3"/>
      <c r="I73" s="3"/>
      <c r="J73" s="3"/>
    </row>
    <row r="74" spans="1:10" hidden="1" x14ac:dyDescent="0.2">
      <c r="A74" s="491" t="s">
        <v>323</v>
      </c>
      <c r="B74" s="3">
        <v>2</v>
      </c>
      <c r="C74" s="3">
        <v>20250</v>
      </c>
      <c r="D74" s="3">
        <f>ROUND(B74*C74,0)</f>
        <v>40500</v>
      </c>
      <c r="E74" s="3"/>
      <c r="F74" s="3"/>
      <c r="G74" s="3"/>
      <c r="I74" s="3"/>
      <c r="J74" s="3"/>
    </row>
    <row r="75" spans="1:10" ht="15" hidden="1" x14ac:dyDescent="0.35">
      <c r="A75" s="491" t="s">
        <v>372</v>
      </c>
      <c r="B75" s="3">
        <v>6</v>
      </c>
      <c r="C75" s="3">
        <v>20250</v>
      </c>
      <c r="D75" s="14">
        <f>ROUND(B75*C75,0)</f>
        <v>121500</v>
      </c>
      <c r="E75" s="3"/>
      <c r="F75" s="3"/>
      <c r="G75" s="3"/>
      <c r="I75" s="3"/>
      <c r="J75" s="3"/>
    </row>
    <row r="76" spans="1:10" hidden="1" x14ac:dyDescent="0.2">
      <c r="A76" s="491" t="s">
        <v>877</v>
      </c>
      <c r="B76" s="3"/>
      <c r="C76" s="3"/>
      <c r="D76" s="3">
        <f>SUM(D73:D75)</f>
        <v>445500</v>
      </c>
      <c r="E76" s="3"/>
      <c r="F76" s="3"/>
      <c r="G76" s="3"/>
      <c r="I76" s="3"/>
      <c r="J76" s="3"/>
    </row>
    <row r="77" spans="1:10" x14ac:dyDescent="0.2">
      <c r="A77" s="491"/>
      <c r="B77" s="491"/>
      <c r="C77" s="491"/>
      <c r="D77" s="3"/>
      <c r="E77" s="3"/>
      <c r="F77" s="3"/>
      <c r="G77" s="3"/>
      <c r="I77" s="3"/>
      <c r="J77" s="3"/>
    </row>
    <row r="78" spans="1:10" ht="13.5" x14ac:dyDescent="0.25">
      <c r="A78" s="494" t="s">
        <v>714</v>
      </c>
      <c r="B78" s="491"/>
      <c r="C78" s="491"/>
      <c r="D78" s="3"/>
      <c r="E78" s="3">
        <v>24691</v>
      </c>
      <c r="F78" s="3">
        <v>27225</v>
      </c>
      <c r="G78" s="3">
        <v>27225</v>
      </c>
      <c r="H78" s="3">
        <v>27225</v>
      </c>
      <c r="I78" s="3">
        <v>27225</v>
      </c>
      <c r="J78" s="3"/>
    </row>
    <row r="79" spans="1:10" hidden="1" x14ac:dyDescent="0.2">
      <c r="A79" s="491" t="s">
        <v>322</v>
      </c>
      <c r="B79" s="3">
        <v>22</v>
      </c>
      <c r="C79" s="3">
        <v>1375</v>
      </c>
      <c r="D79" s="3">
        <f>+C79*B79</f>
        <v>30250</v>
      </c>
      <c r="E79" s="3"/>
      <c r="F79" s="3"/>
      <c r="G79" s="3"/>
      <c r="I79" s="3"/>
      <c r="J79" s="3"/>
    </row>
    <row r="80" spans="1:10" ht="15" hidden="1" x14ac:dyDescent="0.35">
      <c r="A80" s="491" t="s">
        <v>642</v>
      </c>
      <c r="B80" s="3"/>
      <c r="C80" s="3"/>
      <c r="D80" s="14">
        <f>D79*-0.1</f>
        <v>-3025</v>
      </c>
      <c r="E80" s="3"/>
      <c r="F80" s="3"/>
      <c r="G80" s="3"/>
      <c r="I80" s="3"/>
      <c r="J80" s="3"/>
    </row>
    <row r="81" spans="1:10" hidden="1" x14ac:dyDescent="0.2">
      <c r="A81" s="491" t="s">
        <v>877</v>
      </c>
      <c r="B81" s="3"/>
      <c r="C81" s="3"/>
      <c r="D81" s="3">
        <f>SUM(D79:D80)</f>
        <v>27225</v>
      </c>
      <c r="E81" s="3"/>
      <c r="F81" s="3"/>
      <c r="G81" s="3"/>
      <c r="I81" s="3"/>
      <c r="J81" s="3"/>
    </row>
    <row r="82" spans="1:10" x14ac:dyDescent="0.2">
      <c r="A82" s="491"/>
      <c r="B82" s="491"/>
      <c r="C82" s="491"/>
      <c r="D82" s="3"/>
      <c r="E82" s="3"/>
      <c r="F82" s="3"/>
      <c r="G82" s="3"/>
      <c r="I82" s="3"/>
      <c r="J82" s="3"/>
    </row>
    <row r="83" spans="1:10" ht="13.5" x14ac:dyDescent="0.25">
      <c r="A83" s="494" t="s">
        <v>715</v>
      </c>
      <c r="B83" s="491"/>
      <c r="C83" s="491"/>
      <c r="D83" s="3"/>
      <c r="E83" s="3">
        <v>1670</v>
      </c>
      <c r="F83" s="3">
        <v>2308</v>
      </c>
      <c r="G83" s="3">
        <v>2328</v>
      </c>
      <c r="H83" s="3">
        <v>2328</v>
      </c>
      <c r="I83" s="3">
        <v>2328</v>
      </c>
      <c r="J83" s="3"/>
    </row>
    <row r="84" spans="1:10" hidden="1" x14ac:dyDescent="0.2">
      <c r="A84" s="491" t="s">
        <v>239</v>
      </c>
      <c r="B84" s="3">
        <v>2</v>
      </c>
      <c r="C84" s="3">
        <v>145</v>
      </c>
      <c r="D84" s="3">
        <f>+C84*B84</f>
        <v>290</v>
      </c>
      <c r="E84" s="3"/>
      <c r="F84" s="3"/>
      <c r="G84" s="3"/>
      <c r="I84" s="3"/>
      <c r="J84" s="3"/>
    </row>
    <row r="85" spans="1:10" hidden="1" x14ac:dyDescent="0.2">
      <c r="A85" s="491" t="s">
        <v>371</v>
      </c>
      <c r="B85" s="3">
        <v>6</v>
      </c>
      <c r="C85" s="3">
        <v>258</v>
      </c>
      <c r="D85" s="3">
        <f>+C85*B85</f>
        <v>1548</v>
      </c>
      <c r="E85" s="3"/>
      <c r="F85" s="3"/>
      <c r="G85" s="3"/>
      <c r="I85" s="3"/>
      <c r="J85" s="3"/>
    </row>
    <row r="86" spans="1:10" ht="15" hidden="1" x14ac:dyDescent="0.35">
      <c r="A86" s="491" t="s">
        <v>240</v>
      </c>
      <c r="B86" s="3">
        <v>14</v>
      </c>
      <c r="C86" s="3">
        <v>35</v>
      </c>
      <c r="D86" s="14">
        <f>+C86*B86</f>
        <v>490</v>
      </c>
      <c r="E86" s="3"/>
      <c r="F86" s="3"/>
      <c r="G86" s="3"/>
      <c r="I86" s="3"/>
      <c r="J86" s="3"/>
    </row>
    <row r="87" spans="1:10" hidden="1" x14ac:dyDescent="0.2">
      <c r="A87" s="491" t="s">
        <v>1320</v>
      </c>
      <c r="B87" s="491"/>
      <c r="C87" s="491"/>
      <c r="D87" s="3">
        <f>SUM(D84:D86)</f>
        <v>2328</v>
      </c>
      <c r="E87" s="3"/>
      <c r="F87" s="3"/>
      <c r="G87" s="3"/>
      <c r="I87" s="3"/>
      <c r="J87" s="3"/>
    </row>
    <row r="88" spans="1:10" x14ac:dyDescent="0.2">
      <c r="A88" s="491"/>
      <c r="B88" s="491"/>
      <c r="C88" s="491"/>
      <c r="D88" s="3"/>
      <c r="E88" s="3"/>
      <c r="F88" s="3"/>
      <c r="G88" s="3"/>
      <c r="I88" s="3"/>
      <c r="J88" s="3"/>
    </row>
    <row r="89" spans="1:10" ht="13.5" x14ac:dyDescent="0.25">
      <c r="A89" s="494" t="s">
        <v>724</v>
      </c>
      <c r="B89" s="491"/>
      <c r="C89" s="491"/>
      <c r="D89" s="3"/>
      <c r="E89" s="3">
        <v>10575</v>
      </c>
      <c r="F89" s="3">
        <v>11550</v>
      </c>
      <c r="G89" s="3">
        <v>12430</v>
      </c>
      <c r="H89" s="3">
        <v>12430</v>
      </c>
      <c r="I89" s="3">
        <v>12430</v>
      </c>
      <c r="J89" s="3"/>
    </row>
    <row r="90" spans="1:10" hidden="1" x14ac:dyDescent="0.2">
      <c r="A90" s="491" t="s">
        <v>239</v>
      </c>
      <c r="B90" s="3">
        <v>2</v>
      </c>
      <c r="C90" s="3">
        <v>565</v>
      </c>
      <c r="D90" s="3">
        <f>+C90*B90</f>
        <v>1130</v>
      </c>
      <c r="E90" s="3"/>
      <c r="F90" s="3"/>
      <c r="G90" s="3"/>
      <c r="I90" s="3"/>
      <c r="J90" s="3"/>
    </row>
    <row r="91" spans="1:10" ht="15" hidden="1" x14ac:dyDescent="0.35">
      <c r="A91" s="491" t="s">
        <v>1479</v>
      </c>
      <c r="B91" s="3">
        <v>20</v>
      </c>
      <c r="C91" s="3">
        <v>565</v>
      </c>
      <c r="D91" s="14">
        <f>+C91*B91</f>
        <v>11300</v>
      </c>
      <c r="E91" s="3"/>
      <c r="F91" s="3"/>
      <c r="G91" s="3"/>
      <c r="I91" s="3"/>
      <c r="J91" s="3"/>
    </row>
    <row r="92" spans="1:10" hidden="1" x14ac:dyDescent="0.2">
      <c r="A92" s="491" t="s">
        <v>1320</v>
      </c>
      <c r="B92" s="491"/>
      <c r="C92" s="491"/>
      <c r="D92" s="3">
        <f>SUM(D90:D91)</f>
        <v>12430</v>
      </c>
      <c r="E92" s="3"/>
      <c r="F92" s="3"/>
      <c r="G92" s="3"/>
      <c r="I92" s="3"/>
      <c r="J92" s="3"/>
    </row>
    <row r="93" spans="1:10" x14ac:dyDescent="0.2">
      <c r="A93" s="491"/>
      <c r="B93" s="491"/>
      <c r="C93" s="491"/>
      <c r="D93" s="3"/>
      <c r="E93" s="3"/>
      <c r="F93" s="3"/>
      <c r="G93" s="3"/>
      <c r="I93" s="3"/>
      <c r="J93" s="3"/>
    </row>
    <row r="94" spans="1:10" ht="13.5" x14ac:dyDescent="0.25">
      <c r="A94" s="494" t="s">
        <v>303</v>
      </c>
      <c r="B94" s="491"/>
      <c r="C94" s="491"/>
      <c r="D94" s="3"/>
      <c r="E94" s="3">
        <v>20206</v>
      </c>
      <c r="F94" s="3">
        <v>24062</v>
      </c>
      <c r="G94" s="3">
        <v>22465</v>
      </c>
      <c r="H94" s="3">
        <v>22465</v>
      </c>
      <c r="I94" s="3">
        <v>22553</v>
      </c>
      <c r="J94" s="3"/>
    </row>
    <row r="95" spans="1:10" x14ac:dyDescent="0.2">
      <c r="A95" s="16" t="s">
        <v>965</v>
      </c>
      <c r="B95" s="3">
        <f t="shared" ref="B95:B100" si="3">+B56</f>
        <v>44720</v>
      </c>
      <c r="C95" s="17">
        <v>1.89E-3</v>
      </c>
      <c r="D95" s="3">
        <f t="shared" ref="D95:D100" si="4">ROUND(B95*C95,0)</f>
        <v>85</v>
      </c>
      <c r="E95" s="3"/>
      <c r="F95" s="3"/>
      <c r="G95" s="3"/>
      <c r="I95" s="3"/>
      <c r="J95" s="3"/>
    </row>
    <row r="96" spans="1:10" x14ac:dyDescent="0.2">
      <c r="A96" s="16" t="s">
        <v>1536</v>
      </c>
      <c r="B96" s="3">
        <f t="shared" si="3"/>
        <v>614868</v>
      </c>
      <c r="C96" s="17">
        <v>1.5610000000000001E-2</v>
      </c>
      <c r="D96" s="3">
        <f t="shared" si="4"/>
        <v>9598</v>
      </c>
      <c r="E96" s="3"/>
      <c r="F96" s="3"/>
      <c r="G96" s="3"/>
      <c r="I96" s="3"/>
      <c r="J96" s="3"/>
    </row>
    <row r="97" spans="1:10" x14ac:dyDescent="0.2">
      <c r="A97" s="16" t="s">
        <v>883</v>
      </c>
      <c r="B97" s="3">
        <f t="shared" si="3"/>
        <v>683641</v>
      </c>
      <c r="C97" s="17">
        <v>1.5610000000000001E-2</v>
      </c>
      <c r="D97" s="3">
        <f t="shared" si="4"/>
        <v>10672</v>
      </c>
      <c r="E97" s="3"/>
      <c r="F97" s="3"/>
      <c r="G97" s="3"/>
      <c r="I97" s="3"/>
      <c r="J97" s="3"/>
    </row>
    <row r="98" spans="1:10" x14ac:dyDescent="0.2">
      <c r="A98" s="16" t="s">
        <v>1925</v>
      </c>
      <c r="B98" s="3">
        <f t="shared" si="3"/>
        <v>9921.1196874999969</v>
      </c>
      <c r="C98" s="17">
        <v>1.5610000000000001E-2</v>
      </c>
      <c r="D98" s="3">
        <f t="shared" si="4"/>
        <v>155</v>
      </c>
      <c r="E98" s="3"/>
      <c r="F98" s="3"/>
      <c r="G98" s="3"/>
      <c r="I98" s="3"/>
      <c r="J98" s="3"/>
    </row>
    <row r="99" spans="1:10" x14ac:dyDescent="0.2">
      <c r="A99" s="16" t="s">
        <v>196</v>
      </c>
      <c r="B99" s="3">
        <f t="shared" si="3"/>
        <v>45150</v>
      </c>
      <c r="C99" s="17">
        <v>1.5610000000000001E-2</v>
      </c>
      <c r="D99" s="3">
        <f t="shared" si="4"/>
        <v>705</v>
      </c>
      <c r="E99" s="3"/>
      <c r="F99" s="3"/>
      <c r="G99" s="3"/>
      <c r="I99" s="3"/>
      <c r="J99" s="3"/>
    </row>
    <row r="100" spans="1:10" ht="15" x14ac:dyDescent="0.35">
      <c r="A100" s="16" t="s">
        <v>1926</v>
      </c>
      <c r="B100" s="3">
        <f t="shared" si="3"/>
        <v>85338.48986035712</v>
      </c>
      <c r="C100" s="17">
        <v>1.5610000000000001E-2</v>
      </c>
      <c r="D100" s="14">
        <f t="shared" si="4"/>
        <v>1332</v>
      </c>
      <c r="E100" s="3"/>
      <c r="F100" s="3"/>
      <c r="G100" s="3"/>
      <c r="I100" s="3"/>
      <c r="J100" s="3"/>
    </row>
    <row r="101" spans="1:10" x14ac:dyDescent="0.2">
      <c r="A101" s="491" t="s">
        <v>1320</v>
      </c>
      <c r="B101" s="491"/>
      <c r="C101" s="491"/>
      <c r="D101" s="3">
        <f>SUM(D95:D100)+6</f>
        <v>22553</v>
      </c>
      <c r="E101" s="3"/>
      <c r="F101" s="3"/>
      <c r="G101" s="3"/>
      <c r="I101" s="3"/>
      <c r="J101" s="3"/>
    </row>
    <row r="102" spans="1:10" x14ac:dyDescent="0.2">
      <c r="A102" s="491"/>
      <c r="B102" s="491"/>
      <c r="C102" s="491"/>
      <c r="D102" s="3"/>
      <c r="E102" s="3"/>
      <c r="F102" s="3"/>
      <c r="G102" s="3"/>
      <c r="I102" s="3"/>
      <c r="J102" s="3"/>
    </row>
    <row r="103" spans="1:10" ht="13.5" x14ac:dyDescent="0.25">
      <c r="A103" s="494" t="s">
        <v>1510</v>
      </c>
      <c r="B103" s="491"/>
      <c r="C103" s="491"/>
      <c r="D103" s="3"/>
      <c r="E103" s="3">
        <v>276</v>
      </c>
      <c r="F103" s="3">
        <v>449</v>
      </c>
      <c r="G103" s="3">
        <v>449</v>
      </c>
      <c r="H103" s="3">
        <v>449</v>
      </c>
      <c r="I103" s="3">
        <v>449</v>
      </c>
      <c r="J103" s="3"/>
    </row>
    <row r="104" spans="1:10" x14ac:dyDescent="0.2">
      <c r="A104" s="16" t="s">
        <v>965</v>
      </c>
      <c r="B104" s="3">
        <v>1</v>
      </c>
      <c r="C104" s="3">
        <v>20</v>
      </c>
      <c r="D104" s="3">
        <f>+B104*C104</f>
        <v>20</v>
      </c>
      <c r="E104" s="3"/>
      <c r="F104" s="3"/>
      <c r="G104" s="3"/>
      <c r="I104" s="3"/>
      <c r="J104" s="3"/>
    </row>
    <row r="105" spans="1:10" x14ac:dyDescent="0.2">
      <c r="A105" s="16" t="s">
        <v>1536</v>
      </c>
      <c r="B105" s="3">
        <v>7</v>
      </c>
      <c r="C105" s="3">
        <v>20</v>
      </c>
      <c r="D105" s="3">
        <f>+B105*C105</f>
        <v>140</v>
      </c>
      <c r="E105" s="3"/>
      <c r="F105" s="3"/>
      <c r="G105" s="52"/>
      <c r="H105" s="52"/>
      <c r="I105" s="52"/>
      <c r="J105" s="52"/>
    </row>
    <row r="106" spans="1:10" x14ac:dyDescent="0.2">
      <c r="A106" s="16" t="s">
        <v>883</v>
      </c>
      <c r="B106" s="3">
        <v>13</v>
      </c>
      <c r="C106" s="3">
        <v>20</v>
      </c>
      <c r="D106" s="3">
        <f>+B106*C106</f>
        <v>260</v>
      </c>
      <c r="E106" s="3"/>
      <c r="F106" s="3"/>
      <c r="G106" s="52"/>
      <c r="H106" s="52"/>
      <c r="I106" s="52"/>
      <c r="J106" s="52"/>
    </row>
    <row r="107" spans="1:10" x14ac:dyDescent="0.2">
      <c r="A107" s="16" t="s">
        <v>196</v>
      </c>
      <c r="B107" s="3">
        <v>1</v>
      </c>
      <c r="C107" s="3">
        <v>20</v>
      </c>
      <c r="D107" s="3">
        <f>+B107*C107</f>
        <v>20</v>
      </c>
      <c r="E107" s="3"/>
      <c r="F107" s="3"/>
      <c r="G107" s="52"/>
      <c r="H107" s="52"/>
      <c r="I107" s="52"/>
      <c r="J107" s="52"/>
    </row>
    <row r="108" spans="1:10" ht="15" x14ac:dyDescent="0.35">
      <c r="A108" s="16" t="s">
        <v>196</v>
      </c>
      <c r="B108" s="3">
        <v>6080</v>
      </c>
      <c r="C108" s="17">
        <v>1.4E-3</v>
      </c>
      <c r="D108" s="14">
        <f>+B108*C108</f>
        <v>8.5120000000000005</v>
      </c>
      <c r="E108" s="3"/>
      <c r="F108" s="3"/>
      <c r="G108" s="52"/>
      <c r="H108" s="52"/>
      <c r="I108" s="52"/>
      <c r="J108" s="52"/>
    </row>
    <row r="109" spans="1:10" x14ac:dyDescent="0.2">
      <c r="A109" s="491" t="s">
        <v>1320</v>
      </c>
      <c r="B109" s="491"/>
      <c r="C109" s="491"/>
      <c r="D109" s="3">
        <f>SUM(D104:D108)</f>
        <v>448.512</v>
      </c>
      <c r="E109" s="3"/>
      <c r="F109" s="3"/>
      <c r="G109" s="52"/>
      <c r="H109" s="52"/>
      <c r="I109" s="52"/>
      <c r="J109" s="52"/>
    </row>
    <row r="110" spans="1:10" x14ac:dyDescent="0.2">
      <c r="A110" s="491"/>
      <c r="B110" s="491"/>
      <c r="C110" s="491"/>
      <c r="D110" s="3"/>
      <c r="E110" s="3"/>
      <c r="F110" s="3"/>
      <c r="G110" s="52"/>
      <c r="H110" s="52"/>
      <c r="I110" s="52"/>
      <c r="J110" s="52"/>
    </row>
    <row r="111" spans="1:10" ht="13.5" x14ac:dyDescent="0.25">
      <c r="A111" s="55" t="s">
        <v>85</v>
      </c>
      <c r="B111" s="3" t="s">
        <v>418</v>
      </c>
      <c r="C111" s="3"/>
      <c r="D111" s="3"/>
      <c r="E111" s="3">
        <v>29803</v>
      </c>
      <c r="F111" s="3">
        <v>24870</v>
      </c>
      <c r="G111" s="52">
        <v>24870</v>
      </c>
      <c r="H111" s="52">
        <v>24870</v>
      </c>
      <c r="I111" s="52">
        <v>24870</v>
      </c>
      <c r="J111" s="52"/>
    </row>
    <row r="112" spans="1:10" x14ac:dyDescent="0.2">
      <c r="A112" s="3" t="s">
        <v>316</v>
      </c>
      <c r="B112" s="3"/>
      <c r="C112" s="3"/>
      <c r="D112" s="3"/>
      <c r="E112" s="3"/>
      <c r="F112" s="3"/>
      <c r="G112" s="52"/>
      <c r="H112" s="52"/>
      <c r="I112" s="52"/>
      <c r="J112" s="52"/>
    </row>
    <row r="113" spans="1:10" x14ac:dyDescent="0.2">
      <c r="A113" s="3" t="s">
        <v>1844</v>
      </c>
      <c r="B113" s="3"/>
      <c r="C113" s="3"/>
      <c r="D113" s="3">
        <v>20000</v>
      </c>
      <c r="E113" s="3"/>
      <c r="F113" s="3"/>
      <c r="G113" s="52"/>
      <c r="H113" s="52"/>
      <c r="I113" s="52"/>
      <c r="J113" s="52"/>
    </row>
    <row r="114" spans="1:10" ht="15" x14ac:dyDescent="0.35">
      <c r="A114" s="3" t="s">
        <v>2158</v>
      </c>
      <c r="B114" s="3"/>
      <c r="C114" s="3"/>
      <c r="D114" s="14">
        <v>4870</v>
      </c>
      <c r="E114" s="3"/>
      <c r="F114" s="3"/>
      <c r="G114" s="52"/>
      <c r="H114" s="52"/>
      <c r="I114" s="52"/>
      <c r="J114" s="52"/>
    </row>
    <row r="115" spans="1:10" x14ac:dyDescent="0.2">
      <c r="A115" s="3" t="s">
        <v>269</v>
      </c>
      <c r="B115" s="3"/>
      <c r="C115" s="3"/>
      <c r="D115" s="3">
        <f>SUM(D113:D114)</f>
        <v>24870</v>
      </c>
      <c r="E115" s="3"/>
      <c r="F115" s="3"/>
      <c r="G115" s="52"/>
      <c r="H115" s="52"/>
      <c r="I115" s="52"/>
      <c r="J115" s="52"/>
    </row>
    <row r="116" spans="1:10" x14ac:dyDescent="0.2">
      <c r="A116" s="491"/>
      <c r="B116" s="491"/>
      <c r="C116" s="491"/>
      <c r="D116" s="3"/>
      <c r="E116" s="3"/>
      <c r="F116" s="3"/>
      <c r="G116" s="52"/>
      <c r="H116" s="52"/>
      <c r="I116" s="52"/>
      <c r="J116" s="52"/>
    </row>
    <row r="117" spans="1:10" ht="13.5" x14ac:dyDescent="0.25">
      <c r="A117" s="55" t="s">
        <v>1787</v>
      </c>
      <c r="B117" s="491"/>
      <c r="C117" s="491"/>
      <c r="D117" s="3">
        <v>0</v>
      </c>
      <c r="E117" s="3">
        <v>0</v>
      </c>
      <c r="F117" s="3">
        <v>0</v>
      </c>
      <c r="G117" s="3">
        <v>0</v>
      </c>
      <c r="H117" s="3">
        <v>0</v>
      </c>
      <c r="I117" s="3">
        <v>0</v>
      </c>
      <c r="J117" s="3"/>
    </row>
    <row r="118" spans="1:10" ht="13.5" x14ac:dyDescent="0.25">
      <c r="A118" s="55"/>
      <c r="B118" s="491"/>
      <c r="C118" s="491"/>
      <c r="D118" s="3"/>
      <c r="E118" s="3"/>
      <c r="F118" s="3"/>
      <c r="G118" s="3"/>
      <c r="I118" s="3"/>
      <c r="J118" s="3"/>
    </row>
    <row r="119" spans="1:10" ht="13.5" x14ac:dyDescent="0.25">
      <c r="A119" s="494" t="s">
        <v>1511</v>
      </c>
      <c r="B119" s="491"/>
      <c r="C119" s="491"/>
      <c r="D119" s="3"/>
      <c r="E119" s="3">
        <v>2997</v>
      </c>
      <c r="F119" s="3">
        <v>2500</v>
      </c>
      <c r="G119" s="52">
        <v>2500</v>
      </c>
      <c r="H119" s="52">
        <v>2500</v>
      </c>
      <c r="I119" s="52">
        <v>2500</v>
      </c>
      <c r="J119" s="52"/>
    </row>
    <row r="120" spans="1:10" x14ac:dyDescent="0.2">
      <c r="A120" s="491" t="s">
        <v>1512</v>
      </c>
      <c r="B120" s="491"/>
      <c r="C120" s="491"/>
      <c r="D120" s="3" t="s">
        <v>418</v>
      </c>
      <c r="E120" s="3"/>
      <c r="F120" s="3"/>
      <c r="G120" s="52"/>
      <c r="H120" s="52"/>
      <c r="I120" s="52"/>
      <c r="J120" s="52"/>
    </row>
    <row r="121" spans="1:10" x14ac:dyDescent="0.2">
      <c r="A121" s="491" t="s">
        <v>1713</v>
      </c>
      <c r="B121" s="491"/>
      <c r="C121" s="3"/>
      <c r="D121" s="3"/>
      <c r="E121" s="3"/>
      <c r="F121" s="3"/>
      <c r="G121" s="52"/>
      <c r="H121" s="52"/>
      <c r="I121" s="52"/>
      <c r="J121" s="52"/>
    </row>
    <row r="122" spans="1:10" x14ac:dyDescent="0.2">
      <c r="A122" s="491" t="s">
        <v>1320</v>
      </c>
      <c r="B122" s="3"/>
      <c r="C122" s="3"/>
      <c r="D122" s="3">
        <v>2500</v>
      </c>
      <c r="E122" s="3"/>
      <c r="F122" s="3"/>
      <c r="G122" s="52"/>
      <c r="H122" s="52"/>
      <c r="I122" s="52"/>
      <c r="J122" s="52"/>
    </row>
    <row r="123" spans="1:10" x14ac:dyDescent="0.2">
      <c r="A123" s="491"/>
      <c r="B123" s="491"/>
      <c r="C123" s="3" t="s">
        <v>418</v>
      </c>
      <c r="D123" s="3" t="s">
        <v>418</v>
      </c>
      <c r="E123" s="3"/>
      <c r="F123" s="3"/>
      <c r="G123" s="52"/>
      <c r="H123" s="52"/>
      <c r="I123" s="52"/>
      <c r="J123" s="52"/>
    </row>
    <row r="124" spans="1:10" ht="13.5" x14ac:dyDescent="0.25">
      <c r="A124" s="494" t="s">
        <v>365</v>
      </c>
      <c r="B124" s="491"/>
      <c r="C124" s="3"/>
      <c r="D124" s="3"/>
      <c r="E124" s="3">
        <v>9927</v>
      </c>
      <c r="F124" s="3">
        <v>7900</v>
      </c>
      <c r="G124" s="52">
        <v>7900</v>
      </c>
      <c r="H124" s="52">
        <v>7900</v>
      </c>
      <c r="I124" s="52">
        <v>7900</v>
      </c>
      <c r="J124" s="52"/>
    </row>
    <row r="125" spans="1:10" x14ac:dyDescent="0.2">
      <c r="A125" s="491" t="s">
        <v>914</v>
      </c>
      <c r="B125" s="491"/>
      <c r="C125" s="3"/>
      <c r="D125" s="3">
        <v>2500</v>
      </c>
      <c r="E125" s="3"/>
      <c r="F125" s="3"/>
      <c r="G125" s="52"/>
      <c r="H125" s="52"/>
      <c r="I125" s="52"/>
      <c r="J125" s="52"/>
    </row>
    <row r="126" spans="1:10" ht="15" x14ac:dyDescent="0.35">
      <c r="A126" s="491" t="s">
        <v>366</v>
      </c>
      <c r="B126" s="491"/>
      <c r="C126" s="14"/>
      <c r="D126" s="14">
        <v>5400</v>
      </c>
      <c r="E126" s="3"/>
      <c r="F126" s="3"/>
      <c r="G126" s="52"/>
      <c r="H126" s="52"/>
      <c r="I126" s="52"/>
      <c r="J126" s="52"/>
    </row>
    <row r="127" spans="1:10" x14ac:dyDescent="0.2">
      <c r="A127" s="491" t="s">
        <v>1320</v>
      </c>
      <c r="B127" s="491"/>
      <c r="C127" s="3"/>
      <c r="D127" s="3">
        <v>7900</v>
      </c>
      <c r="E127" s="3"/>
      <c r="F127" s="3"/>
      <c r="G127" s="52"/>
      <c r="H127" s="52"/>
      <c r="I127" s="52"/>
      <c r="J127" s="52"/>
    </row>
    <row r="128" spans="1:10" x14ac:dyDescent="0.2">
      <c r="A128" s="491"/>
      <c r="B128" s="491"/>
      <c r="C128" s="21"/>
      <c r="D128" s="21"/>
      <c r="E128" s="3"/>
      <c r="F128" s="3"/>
      <c r="G128" s="52"/>
      <c r="H128" s="52"/>
      <c r="I128" s="52"/>
      <c r="J128" s="52"/>
    </row>
    <row r="129" spans="1:10" ht="13.5" x14ac:dyDescent="0.25">
      <c r="A129" s="494" t="s">
        <v>367</v>
      </c>
      <c r="B129" s="491"/>
      <c r="C129" s="3"/>
      <c r="D129" s="3"/>
      <c r="E129" s="3">
        <v>3323</v>
      </c>
      <c r="F129" s="3">
        <v>5300</v>
      </c>
      <c r="G129" s="52">
        <v>5300</v>
      </c>
      <c r="H129" s="52">
        <v>5300</v>
      </c>
      <c r="I129" s="52">
        <v>5300</v>
      </c>
      <c r="J129" s="52"/>
    </row>
    <row r="130" spans="1:10" x14ac:dyDescent="0.2">
      <c r="A130" s="9" t="s">
        <v>0</v>
      </c>
      <c r="B130" s="9"/>
      <c r="C130" s="3"/>
      <c r="D130" s="3">
        <v>600</v>
      </c>
      <c r="E130" s="3"/>
      <c r="F130" s="3"/>
      <c r="G130" s="52"/>
      <c r="H130" s="52"/>
      <c r="I130" s="52"/>
      <c r="J130" s="52"/>
    </row>
    <row r="131" spans="1:10" x14ac:dyDescent="0.2">
      <c r="A131" s="9" t="s">
        <v>1778</v>
      </c>
      <c r="B131" s="9"/>
      <c r="C131" s="3"/>
      <c r="D131" s="3">
        <v>1300</v>
      </c>
      <c r="E131" s="3"/>
      <c r="F131" s="3"/>
      <c r="G131" s="52"/>
      <c r="H131" s="52"/>
      <c r="I131" s="52"/>
      <c r="J131" s="52"/>
    </row>
    <row r="132" spans="1:10" x14ac:dyDescent="0.2">
      <c r="A132" s="9" t="s">
        <v>2278</v>
      </c>
      <c r="B132" s="9"/>
      <c r="C132" s="53" t="s">
        <v>2033</v>
      </c>
      <c r="D132" s="3">
        <v>1900</v>
      </c>
      <c r="E132" s="3"/>
      <c r="F132" s="3"/>
      <c r="G132" s="52"/>
      <c r="H132" s="52"/>
      <c r="I132" s="52"/>
      <c r="J132" s="52"/>
    </row>
    <row r="133" spans="1:10" x14ac:dyDescent="0.2">
      <c r="A133" s="9" t="s">
        <v>1</v>
      </c>
      <c r="B133" s="9"/>
      <c r="C133" s="3"/>
      <c r="D133" s="3">
        <v>700</v>
      </c>
      <c r="E133" s="3"/>
      <c r="F133" s="3"/>
      <c r="G133" s="52"/>
      <c r="H133" s="52"/>
      <c r="I133" s="52"/>
      <c r="J133" s="52"/>
    </row>
    <row r="134" spans="1:10" ht="15" x14ac:dyDescent="0.35">
      <c r="A134" s="9" t="s">
        <v>1203</v>
      </c>
      <c r="B134" s="9"/>
      <c r="C134" s="14"/>
      <c r="D134" s="14">
        <v>800</v>
      </c>
      <c r="E134" s="3"/>
      <c r="F134" s="3"/>
      <c r="G134" s="52"/>
      <c r="H134" s="52"/>
      <c r="I134" s="52"/>
      <c r="J134" s="52"/>
    </row>
    <row r="135" spans="1:10" x14ac:dyDescent="0.2">
      <c r="A135" s="9" t="s">
        <v>1320</v>
      </c>
      <c r="B135" s="9"/>
      <c r="C135" s="3"/>
      <c r="D135" s="3">
        <f>SUM(D130:D134)</f>
        <v>5300</v>
      </c>
      <c r="E135" s="3"/>
      <c r="F135" s="3"/>
      <c r="G135" s="52"/>
      <c r="H135" s="52"/>
      <c r="I135" s="52"/>
      <c r="J135" s="52"/>
    </row>
    <row r="136" spans="1:10" x14ac:dyDescent="0.2">
      <c r="A136" s="491"/>
      <c r="B136" s="3"/>
      <c r="C136" s="21"/>
      <c r="D136" s="21"/>
      <c r="E136" s="3"/>
      <c r="F136" s="3"/>
      <c r="G136" s="52"/>
      <c r="H136" s="52"/>
      <c r="I136" s="52"/>
      <c r="J136" s="52"/>
    </row>
    <row r="137" spans="1:10" ht="13.5" x14ac:dyDescent="0.25">
      <c r="A137" s="494" t="s">
        <v>1247</v>
      </c>
      <c r="B137" s="491"/>
      <c r="C137" s="491"/>
      <c r="D137" s="3" t="s">
        <v>418</v>
      </c>
      <c r="E137" s="3">
        <v>12929</v>
      </c>
      <c r="F137" s="3">
        <v>11902</v>
      </c>
      <c r="G137" s="52">
        <v>11902</v>
      </c>
      <c r="H137" s="52">
        <v>11902</v>
      </c>
      <c r="I137" s="52">
        <v>11902</v>
      </c>
      <c r="J137" s="52"/>
    </row>
    <row r="138" spans="1:10" x14ac:dyDescent="0.2">
      <c r="A138" s="491" t="s">
        <v>47</v>
      </c>
      <c r="B138" s="3">
        <v>3</v>
      </c>
      <c r="C138" s="3">
        <v>255</v>
      </c>
      <c r="D138" s="3">
        <v>765</v>
      </c>
      <c r="E138" s="3"/>
      <c r="F138" s="3"/>
      <c r="G138" s="52"/>
      <c r="H138" s="52"/>
      <c r="I138" s="52"/>
      <c r="J138" s="52"/>
    </row>
    <row r="139" spans="1:10" x14ac:dyDescent="0.2">
      <c r="A139" s="491" t="s">
        <v>1143</v>
      </c>
      <c r="B139" s="3">
        <v>4</v>
      </c>
      <c r="C139" s="3">
        <v>200</v>
      </c>
      <c r="D139" s="3">
        <f>+C139*B139</f>
        <v>800</v>
      </c>
      <c r="E139" s="3"/>
      <c r="F139" s="3"/>
      <c r="G139" s="52"/>
      <c r="H139" s="52"/>
      <c r="I139" s="52"/>
      <c r="J139" s="52"/>
    </row>
    <row r="140" spans="1:10" x14ac:dyDescent="0.2">
      <c r="A140" s="491" t="s">
        <v>1248</v>
      </c>
      <c r="B140" s="3">
        <v>2</v>
      </c>
      <c r="C140" s="3">
        <v>350</v>
      </c>
      <c r="D140" s="3">
        <v>700</v>
      </c>
      <c r="E140" s="3"/>
      <c r="F140" s="3"/>
      <c r="G140" s="52"/>
      <c r="H140" s="52"/>
      <c r="I140" s="52"/>
      <c r="J140" s="52"/>
    </row>
    <row r="141" spans="1:10" x14ac:dyDescent="0.2">
      <c r="A141" s="491" t="s">
        <v>1072</v>
      </c>
      <c r="B141" s="3">
        <v>2</v>
      </c>
      <c r="C141" s="3">
        <v>75</v>
      </c>
      <c r="D141" s="3">
        <v>150</v>
      </c>
      <c r="E141" s="3"/>
      <c r="F141" s="295"/>
      <c r="G141" s="224"/>
      <c r="H141" s="224"/>
      <c r="I141" s="224"/>
      <c r="J141" s="224"/>
    </row>
    <row r="142" spans="1:10" x14ac:dyDescent="0.2">
      <c r="A142" s="34" t="s">
        <v>2120</v>
      </c>
      <c r="B142" s="3">
        <v>18</v>
      </c>
      <c r="C142" s="3">
        <v>260</v>
      </c>
      <c r="D142" s="3">
        <f>+C142*B142</f>
        <v>4680</v>
      </c>
      <c r="E142" s="3"/>
      <c r="F142" s="295"/>
      <c r="G142" s="224"/>
      <c r="H142" s="224"/>
      <c r="I142" s="224"/>
      <c r="J142" s="224"/>
    </row>
    <row r="143" spans="1:10" x14ac:dyDescent="0.2">
      <c r="A143" s="491" t="s">
        <v>1714</v>
      </c>
      <c r="B143" s="3">
        <v>1</v>
      </c>
      <c r="C143" s="124">
        <v>2.25</v>
      </c>
      <c r="D143" s="3">
        <v>117</v>
      </c>
      <c r="E143" s="3"/>
      <c r="F143" s="295"/>
      <c r="G143" s="224"/>
      <c r="H143" s="224"/>
      <c r="I143" s="224"/>
      <c r="J143" s="224"/>
    </row>
    <row r="144" spans="1:10" x14ac:dyDescent="0.2">
      <c r="A144" s="491" t="s">
        <v>1073</v>
      </c>
      <c r="B144" s="3">
        <v>2</v>
      </c>
      <c r="C144" s="3">
        <v>75</v>
      </c>
      <c r="D144" s="3">
        <v>150</v>
      </c>
      <c r="E144" s="3"/>
      <c r="F144" s="295"/>
      <c r="G144" s="224"/>
      <c r="H144" s="224"/>
      <c r="I144" s="224"/>
      <c r="J144" s="224"/>
    </row>
    <row r="145" spans="1:10" x14ac:dyDescent="0.2">
      <c r="A145" s="491" t="s">
        <v>975</v>
      </c>
      <c r="B145" s="3">
        <v>14</v>
      </c>
      <c r="C145" s="3">
        <v>275</v>
      </c>
      <c r="D145" s="4">
        <f>+B145*C145</f>
        <v>3850</v>
      </c>
      <c r="E145" s="3"/>
      <c r="F145" s="3"/>
      <c r="G145" s="52"/>
      <c r="H145" s="52"/>
      <c r="I145" s="52"/>
      <c r="J145" s="52"/>
    </row>
    <row r="146" spans="1:10" s="416" customFormat="1" ht="15" x14ac:dyDescent="0.35">
      <c r="A146" s="491" t="s">
        <v>2504</v>
      </c>
      <c r="B146" s="3">
        <v>6</v>
      </c>
      <c r="C146" s="3">
        <v>115</v>
      </c>
      <c r="D146" s="33">
        <f>+B146*C146</f>
        <v>690</v>
      </c>
      <c r="E146" s="3"/>
      <c r="F146" s="3"/>
      <c r="G146" s="52"/>
      <c r="H146" s="52"/>
      <c r="I146" s="52"/>
      <c r="J146" s="52"/>
    </row>
    <row r="147" spans="1:10" x14ac:dyDescent="0.2">
      <c r="A147" s="491" t="s">
        <v>1320</v>
      </c>
      <c r="B147" s="491"/>
      <c r="C147" s="491"/>
      <c r="D147" s="3">
        <f>SUM(D138:D146)</f>
        <v>11902</v>
      </c>
      <c r="E147" s="3"/>
      <c r="F147" s="3"/>
      <c r="G147" s="491"/>
      <c r="H147" s="475"/>
      <c r="I147" s="557"/>
      <c r="J147" s="557"/>
    </row>
    <row r="148" spans="1:10" x14ac:dyDescent="0.2">
      <c r="A148" s="491"/>
      <c r="B148" s="491"/>
      <c r="C148" s="491"/>
      <c r="D148" s="3"/>
      <c r="E148" s="3"/>
      <c r="F148" s="3"/>
      <c r="G148" s="491"/>
      <c r="H148" s="475"/>
      <c r="I148" s="557"/>
      <c r="J148" s="557"/>
    </row>
    <row r="149" spans="1:10" ht="13.5" x14ac:dyDescent="0.25">
      <c r="A149" s="494" t="s">
        <v>388</v>
      </c>
      <c r="B149" s="491"/>
      <c r="C149" s="491"/>
      <c r="D149" s="3"/>
      <c r="E149" s="3">
        <v>29356</v>
      </c>
      <c r="F149" s="3">
        <v>28000</v>
      </c>
      <c r="G149" s="52">
        <v>28000</v>
      </c>
      <c r="H149" s="52">
        <v>28000</v>
      </c>
      <c r="I149" s="52">
        <v>28000</v>
      </c>
      <c r="J149" s="52"/>
    </row>
    <row r="150" spans="1:10" x14ac:dyDescent="0.2">
      <c r="A150" s="34" t="s">
        <v>2458</v>
      </c>
      <c r="B150" s="491"/>
      <c r="C150" s="491"/>
      <c r="D150" s="3"/>
      <c r="E150" s="3"/>
      <c r="F150" s="3"/>
      <c r="G150" s="52"/>
      <c r="H150" s="52"/>
      <c r="I150" s="52"/>
      <c r="J150" s="52"/>
    </row>
    <row r="151" spans="1:10" x14ac:dyDescent="0.2">
      <c r="A151" s="491" t="s">
        <v>2459</v>
      </c>
      <c r="B151" s="491"/>
      <c r="C151" s="3"/>
      <c r="D151" s="3">
        <v>28000</v>
      </c>
      <c r="E151" s="3"/>
      <c r="F151" s="3"/>
      <c r="G151" s="52"/>
      <c r="H151" s="52"/>
      <c r="I151" s="52"/>
      <c r="J151" s="52"/>
    </row>
    <row r="152" spans="1:10" x14ac:dyDescent="0.2">
      <c r="A152" s="491"/>
      <c r="B152" s="491"/>
      <c r="C152" s="3"/>
      <c r="D152" s="3"/>
      <c r="E152" s="3"/>
      <c r="F152" s="3"/>
      <c r="G152" s="52"/>
      <c r="H152" s="52"/>
      <c r="I152" s="52"/>
      <c r="J152" s="52"/>
    </row>
    <row r="153" spans="1:10" ht="13.5" x14ac:dyDescent="0.25">
      <c r="A153" s="494" t="s">
        <v>389</v>
      </c>
      <c r="B153" s="491"/>
      <c r="C153" s="3"/>
      <c r="D153" s="3"/>
      <c r="E153" s="3">
        <v>0</v>
      </c>
      <c r="F153" s="3">
        <v>3000</v>
      </c>
      <c r="G153" s="52">
        <v>3000</v>
      </c>
      <c r="H153" s="52">
        <v>3000</v>
      </c>
      <c r="I153" s="52">
        <v>3000</v>
      </c>
      <c r="J153" s="52"/>
    </row>
    <row r="154" spans="1:10" x14ac:dyDescent="0.2">
      <c r="A154" s="491" t="s">
        <v>1426</v>
      </c>
      <c r="B154" s="491"/>
      <c r="C154" s="3"/>
      <c r="D154" s="3">
        <v>3000</v>
      </c>
      <c r="E154" s="3"/>
      <c r="F154" s="3"/>
      <c r="G154" s="52"/>
      <c r="H154" s="52"/>
      <c r="I154" s="52"/>
      <c r="J154" s="52"/>
    </row>
    <row r="155" spans="1:10" x14ac:dyDescent="0.2">
      <c r="A155" s="491"/>
      <c r="B155" s="491"/>
      <c r="C155" s="3"/>
      <c r="D155" s="3"/>
      <c r="E155" s="3"/>
      <c r="F155" s="3"/>
      <c r="G155" s="52"/>
      <c r="H155" s="52"/>
      <c r="I155" s="52"/>
      <c r="J155" s="52"/>
    </row>
    <row r="156" spans="1:10" ht="13.5" x14ac:dyDescent="0.25">
      <c r="A156" s="494" t="s">
        <v>2009</v>
      </c>
      <c r="B156" s="491"/>
      <c r="C156" s="3"/>
      <c r="D156" s="3"/>
      <c r="E156" s="3">
        <v>250</v>
      </c>
      <c r="F156" s="3"/>
      <c r="G156" s="3"/>
      <c r="I156" s="3"/>
      <c r="J156" s="3"/>
    </row>
    <row r="157" spans="1:10" x14ac:dyDescent="0.2">
      <c r="A157" s="491"/>
      <c r="B157" s="491"/>
      <c r="C157" s="3"/>
      <c r="D157" s="3"/>
      <c r="E157" s="3"/>
      <c r="F157" s="3"/>
      <c r="G157" s="52"/>
      <c r="H157" s="52"/>
      <c r="I157" s="52"/>
      <c r="J157" s="52"/>
    </row>
    <row r="158" spans="1:10" ht="13.5" x14ac:dyDescent="0.25">
      <c r="A158" s="494" t="s">
        <v>935</v>
      </c>
      <c r="B158" s="491"/>
      <c r="C158" s="3"/>
      <c r="D158" s="3"/>
      <c r="E158" s="3">
        <v>1107</v>
      </c>
      <c r="F158" s="3">
        <v>1200</v>
      </c>
      <c r="G158" s="52">
        <v>1200</v>
      </c>
      <c r="H158" s="52">
        <v>1200</v>
      </c>
      <c r="I158" s="52">
        <v>1200</v>
      </c>
      <c r="J158" s="52"/>
    </row>
    <row r="159" spans="1:10" x14ac:dyDescent="0.2">
      <c r="A159" s="491" t="s">
        <v>1715</v>
      </c>
      <c r="B159" s="491"/>
      <c r="C159" s="3"/>
      <c r="D159" s="3">
        <v>1200</v>
      </c>
      <c r="E159" s="3"/>
      <c r="F159" s="3"/>
      <c r="G159" s="52"/>
      <c r="H159" s="52"/>
      <c r="I159" s="52"/>
      <c r="J159" s="52"/>
    </row>
    <row r="160" spans="1:10" x14ac:dyDescent="0.2">
      <c r="A160" s="491"/>
      <c r="B160" s="491"/>
      <c r="C160" s="3"/>
      <c r="D160" s="3"/>
      <c r="E160" s="3"/>
      <c r="F160" s="3"/>
      <c r="G160" s="52"/>
      <c r="H160" s="52"/>
      <c r="I160" s="52"/>
      <c r="J160" s="52"/>
    </row>
    <row r="161" spans="1:10" ht="13.5" x14ac:dyDescent="0.25">
      <c r="A161" s="494" t="s">
        <v>378</v>
      </c>
      <c r="B161" s="491"/>
      <c r="C161" s="3"/>
      <c r="D161" s="3"/>
      <c r="E161" s="3">
        <v>333373</v>
      </c>
      <c r="F161" s="3">
        <v>369000</v>
      </c>
      <c r="G161" s="52">
        <v>350000</v>
      </c>
      <c r="H161" s="52">
        <v>350000</v>
      </c>
      <c r="I161" s="52">
        <v>350000</v>
      </c>
      <c r="J161" s="52"/>
    </row>
    <row r="162" spans="1:10" x14ac:dyDescent="0.2">
      <c r="A162" s="491" t="s">
        <v>379</v>
      </c>
      <c r="B162" s="491"/>
      <c r="C162" s="3"/>
      <c r="D162" s="3">
        <v>259000</v>
      </c>
      <c r="E162" s="3"/>
      <c r="F162" s="353"/>
      <c r="G162" s="353"/>
      <c r="H162" s="353"/>
      <c r="I162" s="353"/>
      <c r="J162" s="353"/>
    </row>
    <row r="163" spans="1:10" x14ac:dyDescent="0.2">
      <c r="A163" s="491" t="s">
        <v>1107</v>
      </c>
      <c r="B163" s="491"/>
      <c r="C163" s="3"/>
      <c r="D163" s="3">
        <v>9300</v>
      </c>
      <c r="E163" s="3"/>
      <c r="F163" s="3"/>
      <c r="G163" s="52"/>
      <c r="H163" s="52"/>
      <c r="I163" s="52"/>
      <c r="J163" s="52"/>
    </row>
    <row r="164" spans="1:10" x14ac:dyDescent="0.2">
      <c r="A164" s="491" t="s">
        <v>1108</v>
      </c>
      <c r="B164" s="491"/>
      <c r="C164" s="3"/>
      <c r="D164" s="3">
        <v>5000</v>
      </c>
      <c r="E164" s="3"/>
      <c r="F164" s="3"/>
      <c r="G164" s="52"/>
      <c r="H164" s="52"/>
      <c r="I164" s="52"/>
      <c r="J164" s="52"/>
    </row>
    <row r="165" spans="1:10" x14ac:dyDescent="0.2">
      <c r="A165" s="491" t="s">
        <v>821</v>
      </c>
      <c r="B165" s="491"/>
      <c r="C165" s="3"/>
      <c r="D165" s="3">
        <v>3000</v>
      </c>
      <c r="E165" s="3"/>
      <c r="F165" s="3"/>
      <c r="G165" s="52"/>
      <c r="H165" s="52"/>
      <c r="I165" s="52"/>
      <c r="J165" s="52"/>
    </row>
    <row r="166" spans="1:10" x14ac:dyDescent="0.2">
      <c r="A166" s="491" t="s">
        <v>1195</v>
      </c>
      <c r="B166" s="491"/>
      <c r="C166" s="3"/>
      <c r="D166" s="3">
        <v>2000</v>
      </c>
      <c r="E166" s="3"/>
      <c r="F166" s="3"/>
      <c r="G166" s="52"/>
      <c r="H166" s="52"/>
      <c r="I166" s="52"/>
      <c r="J166" s="52"/>
    </row>
    <row r="167" spans="1:10" x14ac:dyDescent="0.2">
      <c r="A167" s="491" t="s">
        <v>1605</v>
      </c>
      <c r="B167" s="491"/>
      <c r="C167" s="3"/>
      <c r="D167" s="3">
        <v>1200</v>
      </c>
      <c r="E167" s="3"/>
      <c r="F167" s="3"/>
      <c r="G167" s="52"/>
      <c r="H167" s="52"/>
      <c r="I167" s="52"/>
      <c r="J167" s="52"/>
    </row>
    <row r="168" spans="1:10" x14ac:dyDescent="0.2">
      <c r="A168" s="491" t="s">
        <v>822</v>
      </c>
      <c r="B168" s="491"/>
      <c r="C168" s="3"/>
      <c r="D168" s="3">
        <v>1300</v>
      </c>
      <c r="E168" s="3"/>
      <c r="F168" s="3"/>
      <c r="G168" s="52"/>
      <c r="H168" s="52"/>
      <c r="I168" s="52"/>
      <c r="J168" s="52"/>
    </row>
    <row r="169" spans="1:10" x14ac:dyDescent="0.2">
      <c r="A169" s="491" t="s">
        <v>1845</v>
      </c>
      <c r="B169" s="491"/>
      <c r="C169" s="3"/>
      <c r="D169" s="3">
        <v>4200</v>
      </c>
      <c r="E169" s="3"/>
      <c r="F169" s="3"/>
      <c r="G169" s="52"/>
      <c r="H169" s="52"/>
      <c r="I169" s="52"/>
      <c r="J169" s="52"/>
    </row>
    <row r="170" spans="1:10" ht="15" x14ac:dyDescent="0.35">
      <c r="A170" s="491" t="s">
        <v>823</v>
      </c>
      <c r="B170" s="491"/>
      <c r="C170" s="14"/>
      <c r="D170" s="14">
        <v>65000</v>
      </c>
      <c r="E170" s="3"/>
      <c r="F170" s="3"/>
      <c r="G170" s="52"/>
      <c r="H170" s="52"/>
      <c r="I170" s="52"/>
      <c r="J170" s="52"/>
    </row>
    <row r="171" spans="1:10" x14ac:dyDescent="0.2">
      <c r="A171" s="491" t="s">
        <v>1320</v>
      </c>
      <c r="B171" s="491"/>
      <c r="C171" s="3"/>
      <c r="D171" s="3">
        <f>SUM(D162:D170)</f>
        <v>350000</v>
      </c>
      <c r="E171" s="3"/>
      <c r="F171" s="3"/>
      <c r="G171" s="52"/>
      <c r="H171" s="52"/>
      <c r="I171" s="52"/>
      <c r="J171" s="52"/>
    </row>
    <row r="172" spans="1:10" x14ac:dyDescent="0.2">
      <c r="A172" s="491"/>
      <c r="B172" s="491"/>
      <c r="C172" s="3"/>
      <c r="D172" s="3"/>
      <c r="E172" s="3"/>
      <c r="F172" s="3"/>
      <c r="G172" s="52"/>
      <c r="H172" s="52"/>
      <c r="I172" s="52"/>
      <c r="J172" s="52"/>
    </row>
    <row r="173" spans="1:10" ht="13.5" x14ac:dyDescent="0.25">
      <c r="A173" s="494" t="s">
        <v>407</v>
      </c>
      <c r="B173" s="491"/>
      <c r="C173" s="3"/>
      <c r="D173" s="3"/>
      <c r="E173" s="3">
        <v>95667</v>
      </c>
      <c r="F173" s="3">
        <v>87400</v>
      </c>
      <c r="G173" s="52">
        <v>96500</v>
      </c>
      <c r="H173" s="52">
        <v>96500</v>
      </c>
      <c r="I173" s="52">
        <v>96500</v>
      </c>
      <c r="J173" s="52"/>
    </row>
    <row r="174" spans="1:10" x14ac:dyDescent="0.2">
      <c r="A174" s="491" t="s">
        <v>1846</v>
      </c>
      <c r="B174" s="491"/>
      <c r="C174" s="3"/>
      <c r="D174" s="3">
        <v>21000</v>
      </c>
      <c r="E174" s="3"/>
      <c r="F174" s="3"/>
      <c r="G174" s="52"/>
      <c r="H174" s="52"/>
      <c r="I174" s="52"/>
      <c r="J174" s="52"/>
    </row>
    <row r="175" spans="1:10" x14ac:dyDescent="0.2">
      <c r="A175" s="491" t="s">
        <v>1847</v>
      </c>
      <c r="B175" s="491"/>
      <c r="C175" s="3"/>
      <c r="D175" s="3">
        <v>6000</v>
      </c>
      <c r="E175" s="3"/>
      <c r="F175" s="3"/>
      <c r="G175" s="52"/>
      <c r="H175" s="52"/>
      <c r="I175" s="52"/>
      <c r="J175" s="52"/>
    </row>
    <row r="176" spans="1:10" x14ac:dyDescent="0.2">
      <c r="A176" s="491" t="s">
        <v>2097</v>
      </c>
      <c r="B176" s="491"/>
      <c r="C176" s="3"/>
      <c r="D176" s="3">
        <v>4000</v>
      </c>
      <c r="E176" s="3"/>
      <c r="F176" s="3"/>
      <c r="G176" s="52"/>
      <c r="H176" s="52"/>
      <c r="I176" s="52"/>
      <c r="J176" s="52"/>
    </row>
    <row r="177" spans="1:10" x14ac:dyDescent="0.2">
      <c r="A177" s="491" t="s">
        <v>2096</v>
      </c>
      <c r="B177" s="491"/>
      <c r="C177" s="3"/>
      <c r="D177" s="3">
        <v>9500</v>
      </c>
      <c r="E177" s="3"/>
      <c r="F177" s="3"/>
      <c r="G177" s="52"/>
      <c r="H177" s="52"/>
      <c r="I177" s="52"/>
      <c r="J177" s="52"/>
    </row>
    <row r="178" spans="1:10" x14ac:dyDescent="0.2">
      <c r="A178" s="491" t="s">
        <v>1185</v>
      </c>
      <c r="B178" s="491"/>
      <c r="C178" s="3"/>
      <c r="D178" s="3">
        <v>55000</v>
      </c>
      <c r="E178" s="3"/>
      <c r="F178" s="3"/>
      <c r="G178" s="52"/>
      <c r="H178" s="52"/>
      <c r="I178" s="52"/>
      <c r="J178" s="52"/>
    </row>
    <row r="179" spans="1:10" ht="15" x14ac:dyDescent="0.35">
      <c r="A179" s="491" t="s">
        <v>2098</v>
      </c>
      <c r="B179" s="491"/>
      <c r="C179" s="14"/>
      <c r="D179" s="14">
        <v>1000</v>
      </c>
      <c r="E179" s="3"/>
      <c r="F179" s="3"/>
      <c r="G179" s="52"/>
      <c r="H179" s="52"/>
      <c r="I179" s="52"/>
      <c r="J179" s="52"/>
    </row>
    <row r="180" spans="1:10" x14ac:dyDescent="0.2">
      <c r="A180" s="491" t="s">
        <v>1320</v>
      </c>
      <c r="B180" s="491"/>
      <c r="C180" s="3"/>
      <c r="D180" s="3">
        <f>SUM(D174:D179)</f>
        <v>96500</v>
      </c>
      <c r="E180" s="3"/>
      <c r="F180" s="3"/>
      <c r="G180" s="52"/>
      <c r="H180" s="52"/>
      <c r="I180" s="52"/>
      <c r="J180" s="52"/>
    </row>
    <row r="181" spans="1:10" x14ac:dyDescent="0.2">
      <c r="A181" s="491"/>
      <c r="B181" s="491"/>
      <c r="C181" s="491"/>
      <c r="D181" s="3"/>
      <c r="E181" s="3"/>
      <c r="F181" s="3"/>
      <c r="G181" s="52"/>
      <c r="H181" s="52"/>
      <c r="I181" s="52"/>
      <c r="J181" s="52"/>
    </row>
    <row r="182" spans="1:10" ht="13.5" x14ac:dyDescent="0.25">
      <c r="A182" s="494" t="s">
        <v>1186</v>
      </c>
      <c r="B182" s="491"/>
      <c r="C182" s="491"/>
      <c r="D182" s="3"/>
      <c r="E182" s="3">
        <v>0</v>
      </c>
      <c r="F182" s="3">
        <v>3250</v>
      </c>
      <c r="G182" s="52">
        <v>0</v>
      </c>
      <c r="H182" s="52">
        <v>0</v>
      </c>
      <c r="I182" s="52">
        <v>0</v>
      </c>
      <c r="J182" s="52"/>
    </row>
    <row r="183" spans="1:10" x14ac:dyDescent="0.2">
      <c r="A183" s="491" t="s">
        <v>1108</v>
      </c>
      <c r="B183" s="3">
        <v>0</v>
      </c>
      <c r="C183" s="15">
        <v>5.99</v>
      </c>
      <c r="D183" s="3">
        <f>+C183*B183</f>
        <v>0</v>
      </c>
      <c r="E183" s="3"/>
      <c r="F183" s="3"/>
      <c r="G183" s="52"/>
      <c r="H183" s="52"/>
      <c r="I183" s="52"/>
      <c r="J183" s="52"/>
    </row>
    <row r="184" spans="1:10" ht="15" x14ac:dyDescent="0.35">
      <c r="A184" s="491" t="s">
        <v>1187</v>
      </c>
      <c r="B184" s="3">
        <v>0</v>
      </c>
      <c r="C184" s="15">
        <v>5.99</v>
      </c>
      <c r="D184" s="14">
        <f>B184*C184</f>
        <v>0</v>
      </c>
      <c r="E184" s="3"/>
      <c r="F184" s="3"/>
      <c r="G184" s="52"/>
      <c r="H184" s="52"/>
      <c r="I184" s="52"/>
      <c r="J184" s="52"/>
    </row>
    <row r="185" spans="1:10" x14ac:dyDescent="0.2">
      <c r="A185" s="491" t="s">
        <v>1320</v>
      </c>
      <c r="B185" s="491"/>
      <c r="C185" s="491"/>
      <c r="D185" s="3">
        <f>SUM(D183:D184)</f>
        <v>0</v>
      </c>
      <c r="E185" s="3"/>
      <c r="F185" s="3"/>
      <c r="G185" s="491"/>
      <c r="H185" s="475"/>
      <c r="I185" s="557"/>
      <c r="J185" s="557"/>
    </row>
    <row r="186" spans="1:10" x14ac:dyDescent="0.2">
      <c r="A186" s="491"/>
      <c r="B186" s="491"/>
      <c r="C186" s="491"/>
      <c r="D186" s="3"/>
      <c r="E186" s="3"/>
      <c r="F186" s="3"/>
      <c r="G186" s="491"/>
      <c r="H186" s="475"/>
      <c r="I186" s="557"/>
      <c r="J186" s="557"/>
    </row>
    <row r="187" spans="1:10" ht="13.5" x14ac:dyDescent="0.25">
      <c r="A187" s="18" t="s">
        <v>230</v>
      </c>
      <c r="B187" s="491"/>
      <c r="C187" s="491"/>
      <c r="D187" s="3"/>
      <c r="E187" s="3">
        <v>17373</v>
      </c>
      <c r="F187" s="3">
        <v>10300</v>
      </c>
      <c r="G187" s="52">
        <v>17800</v>
      </c>
      <c r="H187" s="52">
        <v>17800</v>
      </c>
      <c r="I187" s="52">
        <v>17800</v>
      </c>
      <c r="J187" s="52"/>
    </row>
    <row r="188" spans="1:10" x14ac:dyDescent="0.2">
      <c r="A188" s="491" t="s">
        <v>1291</v>
      </c>
      <c r="B188" s="491"/>
      <c r="C188" s="3"/>
      <c r="D188" s="3">
        <v>6400</v>
      </c>
      <c r="E188" s="3"/>
      <c r="F188" s="3"/>
      <c r="G188" s="52"/>
      <c r="H188" s="52"/>
      <c r="I188" s="52"/>
      <c r="J188" s="52"/>
    </row>
    <row r="189" spans="1:10" x14ac:dyDescent="0.2">
      <c r="A189" s="491" t="s">
        <v>1292</v>
      </c>
      <c r="B189" s="491"/>
      <c r="C189" s="3"/>
      <c r="D189" s="3">
        <v>4000</v>
      </c>
      <c r="E189" s="3"/>
      <c r="F189" s="3"/>
      <c r="G189" s="52"/>
      <c r="H189" s="52"/>
      <c r="I189" s="52"/>
      <c r="J189" s="52"/>
    </row>
    <row r="190" spans="1:10" x14ac:dyDescent="0.2">
      <c r="A190" s="491" t="s">
        <v>1293</v>
      </c>
      <c r="B190" s="491"/>
      <c r="C190" s="3"/>
      <c r="D190" s="3">
        <v>0</v>
      </c>
      <c r="E190" s="3"/>
      <c r="F190" s="3"/>
      <c r="G190" s="52"/>
      <c r="H190" s="52"/>
      <c r="I190" s="52"/>
      <c r="J190" s="52"/>
    </row>
    <row r="191" spans="1:10" x14ac:dyDescent="0.2">
      <c r="A191" s="491" t="s">
        <v>1457</v>
      </c>
      <c r="B191" s="491"/>
      <c r="C191" s="3"/>
      <c r="D191" s="3">
        <v>200</v>
      </c>
      <c r="E191" s="3"/>
      <c r="F191" s="3"/>
      <c r="G191" s="52"/>
      <c r="H191" s="52"/>
      <c r="I191" s="52"/>
      <c r="J191" s="52"/>
    </row>
    <row r="192" spans="1:10" x14ac:dyDescent="0.2">
      <c r="A192" s="491" t="s">
        <v>1294</v>
      </c>
      <c r="B192" s="491"/>
      <c r="C192" s="3"/>
      <c r="D192" s="3">
        <v>1700</v>
      </c>
      <c r="E192" s="3"/>
      <c r="F192" s="3"/>
      <c r="G192" s="52"/>
      <c r="H192" s="52"/>
      <c r="I192" s="52"/>
      <c r="J192" s="52"/>
    </row>
    <row r="193" spans="1:10" x14ac:dyDescent="0.2">
      <c r="A193" s="491" t="s">
        <v>1630</v>
      </c>
      <c r="B193" s="491"/>
      <c r="C193" s="3"/>
      <c r="D193" s="3">
        <v>1500</v>
      </c>
      <c r="E193" s="3"/>
      <c r="F193" s="3"/>
      <c r="G193" s="52"/>
      <c r="H193" s="52"/>
      <c r="I193" s="52"/>
      <c r="J193" s="52"/>
    </row>
    <row r="194" spans="1:10" ht="15" x14ac:dyDescent="0.35">
      <c r="A194" s="491" t="s">
        <v>1716</v>
      </c>
      <c r="B194" s="491"/>
      <c r="C194" s="14"/>
      <c r="D194" s="14">
        <v>4000</v>
      </c>
      <c r="E194" s="3"/>
      <c r="F194" s="3"/>
      <c r="G194" s="52"/>
      <c r="H194" s="52"/>
      <c r="I194" s="52"/>
      <c r="J194" s="52"/>
    </row>
    <row r="195" spans="1:10" x14ac:dyDescent="0.2">
      <c r="A195" s="491" t="s">
        <v>1320</v>
      </c>
      <c r="B195" s="491"/>
      <c r="C195" s="3"/>
      <c r="D195" s="3">
        <f>SUM(D188:D194)</f>
        <v>17800</v>
      </c>
      <c r="E195" s="3"/>
      <c r="F195" s="3"/>
      <c r="G195" s="52"/>
      <c r="H195" s="52"/>
      <c r="I195" s="52"/>
      <c r="J195" s="52"/>
    </row>
    <row r="196" spans="1:10" x14ac:dyDescent="0.2">
      <c r="A196" s="491"/>
      <c r="B196" s="491"/>
      <c r="C196" s="3"/>
      <c r="D196" s="3"/>
      <c r="E196" s="3"/>
      <c r="F196" s="3"/>
      <c r="G196" s="52"/>
      <c r="H196" s="52"/>
      <c r="I196" s="52"/>
      <c r="J196" s="52"/>
    </row>
    <row r="197" spans="1:10" ht="13.5" x14ac:dyDescent="0.25">
      <c r="A197" s="494" t="s">
        <v>383</v>
      </c>
      <c r="B197" s="491"/>
      <c r="C197" s="3"/>
      <c r="D197" s="3"/>
      <c r="E197" s="3">
        <v>137566</v>
      </c>
      <c r="F197" s="3">
        <v>68000</v>
      </c>
      <c r="G197" s="52">
        <f>+D198</f>
        <v>128000</v>
      </c>
      <c r="H197" s="52">
        <v>128000</v>
      </c>
      <c r="I197" s="52">
        <v>128000</v>
      </c>
      <c r="J197" s="52"/>
    </row>
    <row r="198" spans="1:10" ht="23.25" customHeight="1" x14ac:dyDescent="0.2">
      <c r="A198" s="491" t="s">
        <v>1971</v>
      </c>
      <c r="B198" s="572" t="s">
        <v>2562</v>
      </c>
      <c r="C198" s="572"/>
      <c r="D198" s="3">
        <f>32000*4</f>
        <v>128000</v>
      </c>
      <c r="E198" s="3"/>
      <c r="F198" s="3"/>
      <c r="G198" s="52"/>
      <c r="H198" s="52"/>
      <c r="I198" s="52"/>
      <c r="J198" s="52"/>
    </row>
    <row r="199" spans="1:10" x14ac:dyDescent="0.2">
      <c r="A199" s="491"/>
      <c r="B199" s="491"/>
      <c r="C199" s="491"/>
      <c r="D199" s="3"/>
      <c r="E199" s="3"/>
      <c r="F199" s="3"/>
      <c r="G199" s="52"/>
      <c r="H199" s="52"/>
      <c r="I199" s="52"/>
      <c r="J199" s="52"/>
    </row>
    <row r="200" spans="1:10" ht="13.5" x14ac:dyDescent="0.25">
      <c r="A200" s="494" t="s">
        <v>671</v>
      </c>
      <c r="B200" s="491"/>
      <c r="C200" s="491"/>
      <c r="D200" s="3"/>
      <c r="E200" s="3">
        <v>29067</v>
      </c>
      <c r="F200" s="3">
        <v>31975</v>
      </c>
      <c r="G200" s="52">
        <v>46325</v>
      </c>
      <c r="H200" s="52">
        <v>46325</v>
      </c>
      <c r="I200" s="52">
        <v>46325</v>
      </c>
      <c r="J200" s="52"/>
    </row>
    <row r="201" spans="1:10" x14ac:dyDescent="0.2">
      <c r="A201" s="491" t="s">
        <v>1355</v>
      </c>
      <c r="B201" s="3">
        <v>3750</v>
      </c>
      <c r="C201" s="15">
        <v>3.5</v>
      </c>
      <c r="D201" s="3">
        <f>+C201*B201</f>
        <v>13125</v>
      </c>
      <c r="E201" s="3"/>
      <c r="F201" s="3"/>
      <c r="G201" s="52"/>
      <c r="H201" s="52"/>
      <c r="I201" s="52"/>
      <c r="J201" s="52"/>
    </row>
    <row r="202" spans="1:10" x14ac:dyDescent="0.2">
      <c r="A202" s="491" t="s">
        <v>1848</v>
      </c>
      <c r="B202" s="3">
        <v>7000</v>
      </c>
      <c r="C202" s="15">
        <v>4.1500000000000004</v>
      </c>
      <c r="D202" s="3">
        <f>+C202*B202</f>
        <v>29050.000000000004</v>
      </c>
      <c r="E202" s="3"/>
      <c r="F202" s="3"/>
      <c r="G202" s="52"/>
      <c r="H202" s="52"/>
      <c r="I202" s="52"/>
      <c r="J202" s="52"/>
    </row>
    <row r="203" spans="1:10" ht="15" x14ac:dyDescent="0.35">
      <c r="A203" s="491" t="s">
        <v>1432</v>
      </c>
      <c r="B203" s="3">
        <v>1000</v>
      </c>
      <c r="C203" s="15">
        <v>4.1500000000000004</v>
      </c>
      <c r="D203" s="14">
        <f>+C203*B203</f>
        <v>4150</v>
      </c>
      <c r="E203" s="3"/>
      <c r="F203" s="3"/>
      <c r="G203" s="52"/>
      <c r="H203" s="52"/>
      <c r="I203" s="52"/>
      <c r="J203" s="52"/>
    </row>
    <row r="204" spans="1:10" x14ac:dyDescent="0.2">
      <c r="A204" s="491" t="s">
        <v>1320</v>
      </c>
      <c r="B204" s="491"/>
      <c r="C204" s="491"/>
      <c r="D204" s="3">
        <f>SUM(D201:D203)</f>
        <v>46325</v>
      </c>
      <c r="E204" s="3"/>
      <c r="F204" s="3"/>
      <c r="G204" s="52"/>
      <c r="H204" s="52"/>
      <c r="I204" s="52"/>
      <c r="J204" s="52"/>
    </row>
    <row r="205" spans="1:10" x14ac:dyDescent="0.2">
      <c r="A205" s="491"/>
      <c r="B205" s="491"/>
      <c r="C205" s="491"/>
      <c r="D205" s="3"/>
      <c r="E205" s="3"/>
      <c r="F205" s="3"/>
      <c r="G205" s="52"/>
      <c r="H205" s="52"/>
      <c r="I205" s="52"/>
      <c r="J205" s="52"/>
    </row>
    <row r="206" spans="1:10" ht="13.5" x14ac:dyDescent="0.25">
      <c r="A206" s="494" t="s">
        <v>1498</v>
      </c>
      <c r="B206" s="491"/>
      <c r="C206" s="491"/>
      <c r="D206" s="3"/>
      <c r="E206" s="3">
        <v>15657</v>
      </c>
      <c r="F206" s="3">
        <v>13095</v>
      </c>
      <c r="G206" s="52">
        <v>15745</v>
      </c>
      <c r="H206" s="52">
        <v>15745</v>
      </c>
      <c r="I206" s="52">
        <v>15745</v>
      </c>
      <c r="J206" s="52"/>
    </row>
    <row r="207" spans="1:10" x14ac:dyDescent="0.2">
      <c r="A207" s="491" t="s">
        <v>1026</v>
      </c>
      <c r="B207" s="491"/>
      <c r="C207" s="3"/>
      <c r="D207" s="3">
        <v>7250</v>
      </c>
      <c r="E207" s="3"/>
      <c r="F207" s="3"/>
      <c r="G207" s="52"/>
      <c r="H207" s="52"/>
      <c r="I207" s="52"/>
      <c r="J207" s="52"/>
    </row>
    <row r="208" spans="1:10" x14ac:dyDescent="0.2">
      <c r="A208" s="491" t="s">
        <v>2308</v>
      </c>
      <c r="B208" s="491"/>
      <c r="C208" s="3"/>
      <c r="D208" s="3">
        <v>6120</v>
      </c>
      <c r="E208" s="3"/>
      <c r="F208" s="3"/>
      <c r="G208" s="52"/>
      <c r="H208" s="52"/>
      <c r="I208" s="52"/>
      <c r="J208" s="52"/>
    </row>
    <row r="209" spans="1:10" x14ac:dyDescent="0.2">
      <c r="A209" s="491" t="s">
        <v>2012</v>
      </c>
      <c r="B209" s="491"/>
      <c r="C209" s="3"/>
      <c r="D209" s="3">
        <v>2000</v>
      </c>
      <c r="E209" s="3"/>
      <c r="F209" s="3"/>
      <c r="G209" s="52"/>
      <c r="H209" s="52"/>
      <c r="I209" s="52"/>
      <c r="J209" s="52"/>
    </row>
    <row r="210" spans="1:10" x14ac:dyDescent="0.2">
      <c r="A210" s="491" t="s">
        <v>2091</v>
      </c>
      <c r="B210" s="491">
        <v>2</v>
      </c>
      <c r="C210" s="3"/>
      <c r="D210" s="3">
        <f>+B210*125</f>
        <v>250</v>
      </c>
      <c r="E210" s="3"/>
      <c r="F210" s="3"/>
      <c r="G210" s="52"/>
      <c r="H210" s="52"/>
      <c r="I210" s="52"/>
      <c r="J210" s="52"/>
    </row>
    <row r="211" spans="1:10" ht="15" x14ac:dyDescent="0.35">
      <c r="A211" s="491" t="s">
        <v>182</v>
      </c>
      <c r="B211" s="3" t="s">
        <v>418</v>
      </c>
      <c r="C211" s="14">
        <v>125</v>
      </c>
      <c r="D211" s="14">
        <v>125</v>
      </c>
      <c r="E211" s="3"/>
      <c r="F211" s="3"/>
      <c r="G211" s="52"/>
      <c r="H211" s="52"/>
      <c r="I211" s="52"/>
      <c r="J211" s="52"/>
    </row>
    <row r="212" spans="1:10" x14ac:dyDescent="0.2">
      <c r="A212" s="491" t="s">
        <v>1320</v>
      </c>
      <c r="B212" s="491"/>
      <c r="C212" s="3"/>
      <c r="D212" s="3">
        <f>SUM(D207:D211)</f>
        <v>15745</v>
      </c>
      <c r="E212" s="3"/>
      <c r="F212" s="3"/>
      <c r="G212" s="52"/>
      <c r="H212" s="52"/>
      <c r="I212" s="52"/>
      <c r="J212" s="52"/>
    </row>
    <row r="213" spans="1:10" x14ac:dyDescent="0.2">
      <c r="A213" s="491"/>
      <c r="B213" s="491"/>
      <c r="C213" s="3"/>
      <c r="D213" s="3"/>
      <c r="E213" s="3"/>
      <c r="F213" s="3"/>
      <c r="G213" s="52"/>
      <c r="H213" s="52"/>
      <c r="I213" s="52"/>
      <c r="J213" s="52"/>
    </row>
    <row r="214" spans="1:10" ht="13.5" x14ac:dyDescent="0.25">
      <c r="A214" s="494" t="s">
        <v>1165</v>
      </c>
      <c r="B214" s="491"/>
      <c r="C214" s="11" t="s">
        <v>418</v>
      </c>
      <c r="D214" s="11" t="s">
        <v>418</v>
      </c>
      <c r="E214" s="3">
        <v>7891</v>
      </c>
      <c r="F214" s="3">
        <v>9145</v>
      </c>
      <c r="G214" s="3">
        <v>9145</v>
      </c>
      <c r="H214" s="3">
        <v>9145</v>
      </c>
      <c r="I214" s="3">
        <v>9145</v>
      </c>
      <c r="J214" s="3"/>
    </row>
    <row r="215" spans="1:10" x14ac:dyDescent="0.2">
      <c r="A215" s="491" t="s">
        <v>368</v>
      </c>
      <c r="B215" s="3" t="s">
        <v>418</v>
      </c>
      <c r="C215" s="3"/>
      <c r="D215" s="3">
        <v>375</v>
      </c>
      <c r="E215" s="3"/>
      <c r="F215" s="295"/>
      <c r="G215" s="224"/>
      <c r="H215" s="224"/>
      <c r="I215" s="224"/>
      <c r="J215" s="224"/>
    </row>
    <row r="216" spans="1:10" x14ac:dyDescent="0.2">
      <c r="A216" s="491" t="s">
        <v>2279</v>
      </c>
      <c r="B216" s="3"/>
      <c r="C216" s="3"/>
      <c r="D216" s="3">
        <v>5500</v>
      </c>
      <c r="E216" s="3"/>
      <c r="F216" s="295"/>
      <c r="G216" s="224"/>
      <c r="H216" s="224"/>
      <c r="I216" s="224"/>
      <c r="J216" s="224"/>
    </row>
    <row r="217" spans="1:10" x14ac:dyDescent="0.2">
      <c r="A217" s="491" t="s">
        <v>183</v>
      </c>
      <c r="B217" s="3"/>
      <c r="C217" s="3"/>
      <c r="D217" s="3">
        <v>450</v>
      </c>
      <c r="E217" s="3"/>
      <c r="F217" s="3"/>
      <c r="G217" s="52"/>
      <c r="H217" s="52"/>
      <c r="I217" s="52"/>
      <c r="J217" s="52"/>
    </row>
    <row r="218" spans="1:10" x14ac:dyDescent="0.2">
      <c r="A218" s="491" t="s">
        <v>369</v>
      </c>
      <c r="B218" s="3"/>
      <c r="C218" s="3"/>
      <c r="D218" s="3">
        <v>900</v>
      </c>
      <c r="E218" s="3"/>
      <c r="F218" s="3"/>
      <c r="G218" s="52"/>
      <c r="H218" s="52"/>
      <c r="I218" s="52"/>
      <c r="J218" s="52"/>
    </row>
    <row r="219" spans="1:10" x14ac:dyDescent="0.2">
      <c r="A219" s="491" t="s">
        <v>2032</v>
      </c>
      <c r="B219" s="3"/>
      <c r="C219" s="3"/>
      <c r="D219" s="3">
        <v>1500</v>
      </c>
      <c r="E219" s="3"/>
      <c r="F219" s="3"/>
      <c r="G219" s="52"/>
      <c r="H219" s="52"/>
      <c r="I219" s="52"/>
      <c r="J219" s="52"/>
    </row>
    <row r="220" spans="1:10" ht="15" x14ac:dyDescent="0.35">
      <c r="A220" s="491" t="s">
        <v>958</v>
      </c>
      <c r="B220" s="3"/>
      <c r="C220" s="14"/>
      <c r="D220" s="14">
        <v>420</v>
      </c>
      <c r="E220" s="3"/>
      <c r="F220" s="3"/>
      <c r="G220" s="52"/>
      <c r="H220" s="52"/>
      <c r="I220" s="52"/>
      <c r="J220" s="52"/>
    </row>
    <row r="221" spans="1:10" x14ac:dyDescent="0.2">
      <c r="A221" s="491" t="s">
        <v>1320</v>
      </c>
      <c r="B221" s="3"/>
      <c r="C221" s="3"/>
      <c r="D221" s="3">
        <f>SUM(D215:D220)</f>
        <v>9145</v>
      </c>
      <c r="E221" s="3"/>
      <c r="F221" s="3"/>
      <c r="G221" s="491"/>
      <c r="H221" s="475"/>
      <c r="I221" s="557"/>
      <c r="J221" s="557"/>
    </row>
    <row r="222" spans="1:10" x14ac:dyDescent="0.2">
      <c r="A222" s="491" t="s">
        <v>418</v>
      </c>
      <c r="B222" s="491"/>
      <c r="C222" s="3" t="s">
        <v>418</v>
      </c>
      <c r="D222" s="3" t="s">
        <v>418</v>
      </c>
      <c r="E222" s="3"/>
      <c r="F222" s="3"/>
      <c r="G222" s="491"/>
      <c r="H222" s="475"/>
      <c r="I222" s="557"/>
      <c r="J222" s="557"/>
    </row>
    <row r="223" spans="1:10" ht="13.5" x14ac:dyDescent="0.25">
      <c r="A223" s="20" t="s">
        <v>954</v>
      </c>
      <c r="B223" s="491"/>
      <c r="C223" s="3"/>
      <c r="D223" s="3"/>
      <c r="E223" s="3">
        <v>66304</v>
      </c>
      <c r="F223" s="3">
        <v>69117</v>
      </c>
      <c r="G223" s="52">
        <v>72573</v>
      </c>
      <c r="H223" s="52">
        <v>72573</v>
      </c>
      <c r="I223" s="52">
        <v>72573</v>
      </c>
      <c r="J223" s="52"/>
    </row>
    <row r="224" spans="1:10" x14ac:dyDescent="0.2">
      <c r="A224" s="491" t="s">
        <v>1697</v>
      </c>
      <c r="B224" s="491"/>
      <c r="C224" s="3"/>
      <c r="D224" s="3">
        <v>72573</v>
      </c>
      <c r="E224" s="3"/>
      <c r="F224" s="3"/>
      <c r="G224" s="491"/>
      <c r="H224" s="475"/>
      <c r="I224" s="557"/>
      <c r="J224" s="557"/>
    </row>
    <row r="225" spans="1:10" x14ac:dyDescent="0.2">
      <c r="A225" s="491"/>
      <c r="B225" s="491"/>
      <c r="C225" s="3"/>
      <c r="D225" s="3"/>
      <c r="E225" s="3"/>
      <c r="F225" s="3"/>
      <c r="G225" s="52"/>
      <c r="H225" s="52"/>
      <c r="I225" s="52"/>
      <c r="J225" s="52"/>
    </row>
    <row r="226" spans="1:10" x14ac:dyDescent="0.2">
      <c r="A226" s="491"/>
      <c r="B226" s="491"/>
      <c r="C226" s="3"/>
      <c r="D226" s="3"/>
      <c r="E226" s="3"/>
      <c r="F226" s="3"/>
      <c r="G226" s="52"/>
      <c r="H226" s="52"/>
      <c r="I226" s="52"/>
      <c r="J226" s="52"/>
    </row>
    <row r="227" spans="1:10" ht="13.5" x14ac:dyDescent="0.25">
      <c r="A227" s="494" t="s">
        <v>1130</v>
      </c>
      <c r="B227" s="491"/>
      <c r="C227" s="3"/>
      <c r="D227" s="3"/>
      <c r="E227" s="3">
        <v>565</v>
      </c>
      <c r="F227" s="3">
        <v>2500</v>
      </c>
      <c r="G227" s="52">
        <v>2500</v>
      </c>
      <c r="H227" s="52">
        <v>2500</v>
      </c>
      <c r="I227" s="52">
        <v>2500</v>
      </c>
      <c r="J227" s="52"/>
    </row>
    <row r="228" spans="1:10" x14ac:dyDescent="0.2">
      <c r="A228" s="491" t="s">
        <v>1849</v>
      </c>
      <c r="B228" s="491"/>
      <c r="C228" s="3" t="s">
        <v>418</v>
      </c>
      <c r="D228" s="3" t="s">
        <v>418</v>
      </c>
      <c r="E228" s="3"/>
      <c r="F228" s="3"/>
      <c r="G228" s="52"/>
      <c r="H228" s="52"/>
      <c r="I228" s="52"/>
      <c r="J228" s="52"/>
    </row>
    <row r="229" spans="1:10" x14ac:dyDescent="0.2">
      <c r="A229" s="491" t="s">
        <v>1717</v>
      </c>
      <c r="B229" s="491"/>
      <c r="C229" s="3"/>
      <c r="D229" s="3">
        <v>2500</v>
      </c>
      <c r="E229" s="3"/>
      <c r="F229" s="3"/>
      <c r="G229" s="52"/>
      <c r="H229" s="52"/>
      <c r="I229" s="52"/>
      <c r="J229" s="52"/>
    </row>
    <row r="230" spans="1:10" x14ac:dyDescent="0.2">
      <c r="A230" s="491"/>
      <c r="B230" s="491"/>
      <c r="C230" s="3"/>
      <c r="D230" s="3"/>
      <c r="E230" s="3"/>
      <c r="F230" s="3"/>
      <c r="G230" s="52"/>
      <c r="H230" s="52"/>
      <c r="I230" s="52"/>
      <c r="J230" s="52"/>
    </row>
    <row r="231" spans="1:10" ht="13.5" x14ac:dyDescent="0.25">
      <c r="A231" s="494" t="s">
        <v>697</v>
      </c>
      <c r="B231" s="491" t="s">
        <v>61</v>
      </c>
      <c r="C231" s="3" t="s">
        <v>2522</v>
      </c>
      <c r="D231" s="3" t="s">
        <v>62</v>
      </c>
      <c r="E231" s="3">
        <v>117385</v>
      </c>
      <c r="F231" s="3">
        <v>111711</v>
      </c>
      <c r="G231" s="52">
        <f>+D237</f>
        <v>128467.65</v>
      </c>
      <c r="H231" s="52">
        <v>128467.65</v>
      </c>
      <c r="I231" s="52">
        <v>128467.65</v>
      </c>
      <c r="J231" s="52"/>
    </row>
    <row r="232" spans="1:10" x14ac:dyDescent="0.2">
      <c r="A232" s="491" t="s">
        <v>63</v>
      </c>
      <c r="B232" s="491">
        <v>1.006</v>
      </c>
      <c r="C232" s="3">
        <v>35180</v>
      </c>
      <c r="D232" s="3">
        <f>ROUND(B232*C232,0)*1.15</f>
        <v>40699.649999999994</v>
      </c>
      <c r="E232" s="3"/>
      <c r="F232" s="3"/>
      <c r="G232" s="491"/>
      <c r="H232" s="475"/>
      <c r="I232" s="557"/>
      <c r="J232" s="557"/>
    </row>
    <row r="233" spans="1:10" x14ac:dyDescent="0.2">
      <c r="A233" s="491" t="s">
        <v>64</v>
      </c>
      <c r="B233" s="491">
        <v>0.3</v>
      </c>
      <c r="C233" s="3">
        <v>18500</v>
      </c>
      <c r="D233" s="3">
        <f t="shared" ref="D233:D235" si="5">ROUND(B233*C233,0)*1.15</f>
        <v>6382.4999999999991</v>
      </c>
      <c r="E233" s="3"/>
      <c r="F233" s="3"/>
      <c r="G233" s="52"/>
      <c r="H233" s="52"/>
      <c r="I233" s="52"/>
      <c r="J233" s="52"/>
    </row>
    <row r="234" spans="1:10" x14ac:dyDescent="0.2">
      <c r="A234" s="491" t="s">
        <v>1124</v>
      </c>
      <c r="B234" s="491">
        <v>1.25</v>
      </c>
      <c r="C234" s="3">
        <v>14000</v>
      </c>
      <c r="D234" s="3">
        <f t="shared" si="5"/>
        <v>20125</v>
      </c>
      <c r="E234" s="3"/>
      <c r="F234" s="3"/>
      <c r="G234" s="52"/>
      <c r="H234" s="52"/>
      <c r="I234" s="52"/>
      <c r="J234" s="52"/>
    </row>
    <row r="235" spans="1:10" x14ac:dyDescent="0.2">
      <c r="A235" s="491" t="s">
        <v>2280</v>
      </c>
      <c r="B235" s="491">
        <v>0.1522</v>
      </c>
      <c r="C235" s="3">
        <v>350000</v>
      </c>
      <c r="D235" s="3">
        <f t="shared" si="5"/>
        <v>61260.499999999993</v>
      </c>
      <c r="E235" s="3"/>
      <c r="F235" s="3"/>
      <c r="G235" s="52"/>
      <c r="H235" s="52"/>
      <c r="I235" s="52"/>
      <c r="J235" s="52"/>
    </row>
    <row r="236" spans="1:10" ht="15" x14ac:dyDescent="0.35">
      <c r="A236" s="491"/>
      <c r="B236" s="491"/>
      <c r="C236" s="14"/>
      <c r="D236" s="14">
        <f>B236*C236</f>
        <v>0</v>
      </c>
      <c r="E236" s="3"/>
      <c r="F236" s="3"/>
      <c r="G236" s="52"/>
      <c r="H236" s="52"/>
      <c r="I236" s="52"/>
      <c r="J236" s="52"/>
    </row>
    <row r="237" spans="1:10" x14ac:dyDescent="0.2">
      <c r="A237" s="491" t="s">
        <v>1320</v>
      </c>
      <c r="B237" s="573"/>
      <c r="C237" s="573"/>
      <c r="D237" s="3">
        <f>SUM(D232:D236)</f>
        <v>128467.65</v>
      </c>
      <c r="E237" s="53" t="s">
        <v>2033</v>
      </c>
      <c r="F237" s="3"/>
      <c r="G237" s="52"/>
      <c r="H237" s="52"/>
      <c r="I237" s="52"/>
      <c r="J237" s="52"/>
    </row>
    <row r="238" spans="1:10" x14ac:dyDescent="0.2">
      <c r="A238" s="491"/>
      <c r="B238" s="491"/>
      <c r="C238" s="491"/>
      <c r="D238" s="491"/>
      <c r="E238" s="491"/>
      <c r="F238" s="3"/>
      <c r="G238" s="491"/>
      <c r="H238" s="475"/>
      <c r="I238" s="557"/>
      <c r="J238" s="557"/>
    </row>
    <row r="239" spans="1:10" ht="15" x14ac:dyDescent="0.35">
      <c r="A239" s="494" t="s">
        <v>1270</v>
      </c>
      <c r="B239" s="491" t="s">
        <v>61</v>
      </c>
      <c r="C239" s="14" t="s">
        <v>1295</v>
      </c>
      <c r="D239" s="14"/>
      <c r="E239" s="3">
        <v>250000</v>
      </c>
      <c r="F239" s="3">
        <v>301760</v>
      </c>
      <c r="G239" s="52">
        <f>+D240</f>
        <v>316848</v>
      </c>
      <c r="H239" s="52">
        <v>316848</v>
      </c>
      <c r="I239" s="52">
        <v>316848</v>
      </c>
      <c r="J239" s="52"/>
    </row>
    <row r="240" spans="1:10" x14ac:dyDescent="0.2">
      <c r="A240" s="34" t="s">
        <v>2447</v>
      </c>
      <c r="B240" s="491">
        <f>13.12*1.05</f>
        <v>13.776</v>
      </c>
      <c r="C240" s="3">
        <v>23000</v>
      </c>
      <c r="D240" s="3">
        <f>+C240*B240</f>
        <v>316848</v>
      </c>
      <c r="E240" s="3"/>
      <c r="F240" s="3"/>
      <c r="G240" s="52"/>
      <c r="H240" s="52"/>
      <c r="I240" s="52"/>
      <c r="J240" s="52"/>
    </row>
    <row r="241" spans="1:10" x14ac:dyDescent="0.2">
      <c r="A241" s="491"/>
      <c r="B241" s="573"/>
      <c r="C241" s="573"/>
      <c r="D241" s="3"/>
      <c r="E241" s="3"/>
      <c r="F241" s="3"/>
      <c r="G241" s="52"/>
      <c r="H241" s="52"/>
      <c r="I241" s="52"/>
      <c r="J241" s="52"/>
    </row>
    <row r="242" spans="1:10" s="351" customFormat="1" x14ac:dyDescent="0.2">
      <c r="A242" s="491"/>
      <c r="B242" s="573"/>
      <c r="C242" s="573"/>
      <c r="D242" s="3"/>
      <c r="E242" s="3"/>
      <c r="F242" s="3"/>
      <c r="G242" s="52"/>
      <c r="H242" s="52"/>
      <c r="I242" s="52"/>
      <c r="J242" s="52"/>
    </row>
    <row r="243" spans="1:10" ht="13.5" x14ac:dyDescent="0.25">
      <c r="A243" s="494" t="s">
        <v>1271</v>
      </c>
      <c r="B243" s="491"/>
      <c r="C243" s="3"/>
      <c r="D243" s="3"/>
      <c r="E243" s="3">
        <v>23399</v>
      </c>
      <c r="F243" s="3">
        <v>12600</v>
      </c>
      <c r="G243" s="52">
        <v>12600</v>
      </c>
      <c r="H243" s="52">
        <v>12600</v>
      </c>
      <c r="I243" s="52">
        <v>12600</v>
      </c>
      <c r="J243" s="52"/>
    </row>
    <row r="244" spans="1:10" x14ac:dyDescent="0.2">
      <c r="A244" s="491" t="s">
        <v>1357</v>
      </c>
      <c r="B244" s="491"/>
      <c r="C244" s="3"/>
      <c r="D244" s="3">
        <v>2000</v>
      </c>
      <c r="E244" s="3"/>
      <c r="F244" s="295"/>
      <c r="G244" s="224"/>
      <c r="H244" s="224"/>
      <c r="I244" s="224"/>
      <c r="J244" s="224"/>
    </row>
    <row r="245" spans="1:10" x14ac:dyDescent="0.2">
      <c r="A245" s="491" t="s">
        <v>1358</v>
      </c>
      <c r="B245" s="491"/>
      <c r="C245" s="3"/>
      <c r="D245" s="3">
        <v>3000</v>
      </c>
      <c r="E245" s="3"/>
      <c r="F245" s="3"/>
      <c r="G245" s="52"/>
      <c r="H245" s="52"/>
      <c r="I245" s="52"/>
      <c r="J245" s="52"/>
    </row>
    <row r="246" spans="1:10" ht="15" x14ac:dyDescent="0.35">
      <c r="A246" s="491" t="s">
        <v>1359</v>
      </c>
      <c r="B246" s="491"/>
      <c r="C246" s="14"/>
      <c r="D246" s="3">
        <v>7600</v>
      </c>
      <c r="E246" s="3"/>
      <c r="F246" s="3"/>
      <c r="G246" s="52"/>
      <c r="H246" s="52"/>
      <c r="I246" s="52"/>
      <c r="J246" s="52"/>
    </row>
    <row r="247" spans="1:10" ht="15" x14ac:dyDescent="0.35">
      <c r="A247" s="16" t="s">
        <v>2033</v>
      </c>
      <c r="B247" s="491"/>
      <c r="C247" s="14"/>
      <c r="D247" s="236" t="s">
        <v>2033</v>
      </c>
      <c r="E247" s="3"/>
      <c r="F247" s="3"/>
      <c r="G247" s="52"/>
      <c r="H247" s="52"/>
      <c r="I247" s="52"/>
      <c r="J247" s="52"/>
    </row>
    <row r="248" spans="1:10" x14ac:dyDescent="0.2">
      <c r="A248" s="491" t="s">
        <v>1320</v>
      </c>
      <c r="B248" s="491"/>
      <c r="C248" s="3"/>
      <c r="D248" s="3">
        <f>SUM(D244:D247)</f>
        <v>12600</v>
      </c>
      <c r="E248" s="3"/>
      <c r="F248" s="3"/>
      <c r="G248" s="52"/>
      <c r="H248" s="52"/>
      <c r="I248" s="52"/>
      <c r="J248" s="52"/>
    </row>
    <row r="249" spans="1:10" x14ac:dyDescent="0.2">
      <c r="A249" s="491"/>
      <c r="B249" s="491"/>
      <c r="C249" s="3"/>
      <c r="D249" s="3"/>
      <c r="E249" s="3"/>
      <c r="F249" s="3"/>
      <c r="G249" s="52"/>
      <c r="H249" s="52"/>
      <c r="I249" s="52"/>
      <c r="J249" s="52"/>
    </row>
    <row r="250" spans="1:10" ht="13.5" x14ac:dyDescent="0.25">
      <c r="A250" s="494" t="s">
        <v>1360</v>
      </c>
      <c r="B250" s="491"/>
      <c r="C250" s="3"/>
      <c r="D250" s="3"/>
      <c r="E250" s="3">
        <v>1361</v>
      </c>
      <c r="F250" s="3">
        <v>1200</v>
      </c>
      <c r="G250" s="52">
        <v>1200</v>
      </c>
      <c r="H250" s="52">
        <v>1200</v>
      </c>
      <c r="I250" s="52">
        <v>1200</v>
      </c>
      <c r="J250" s="52"/>
    </row>
    <row r="251" spans="1:10" x14ac:dyDescent="0.2">
      <c r="A251" s="491" t="s">
        <v>1361</v>
      </c>
      <c r="B251" s="491"/>
      <c r="C251" s="3"/>
      <c r="D251" s="3">
        <v>1200</v>
      </c>
      <c r="E251" s="3"/>
      <c r="F251" s="3"/>
      <c r="G251" s="52"/>
      <c r="H251" s="52"/>
      <c r="I251" s="52"/>
      <c r="J251" s="52"/>
    </row>
    <row r="252" spans="1:10" x14ac:dyDescent="0.2">
      <c r="A252" s="491"/>
      <c r="B252" s="491"/>
      <c r="C252" s="3"/>
      <c r="D252" s="3"/>
      <c r="E252" s="3"/>
      <c r="F252" s="3"/>
      <c r="G252" s="52"/>
      <c r="H252" s="52"/>
      <c r="I252" s="52"/>
      <c r="J252" s="52"/>
    </row>
    <row r="253" spans="1:10" ht="13.5" x14ac:dyDescent="0.25">
      <c r="A253" s="494" t="s">
        <v>718</v>
      </c>
      <c r="B253" s="491"/>
      <c r="C253" s="439" t="s">
        <v>2563</v>
      </c>
      <c r="D253" s="3"/>
      <c r="E253" s="3">
        <v>112621</v>
      </c>
      <c r="F253" s="3">
        <v>227420</v>
      </c>
      <c r="G253" s="52">
        <v>227000</v>
      </c>
      <c r="H253" s="52">
        <v>227000</v>
      </c>
      <c r="I253" s="52">
        <v>227000</v>
      </c>
      <c r="J253" s="52"/>
    </row>
    <row r="254" spans="1:10" x14ac:dyDescent="0.2">
      <c r="A254" s="491" t="s">
        <v>2448</v>
      </c>
      <c r="B254" s="491"/>
      <c r="C254" s="524">
        <v>25000</v>
      </c>
      <c r="D254" s="3">
        <v>20000</v>
      </c>
      <c r="E254" s="244" t="s">
        <v>2033</v>
      </c>
      <c r="F254" s="3"/>
      <c r="G254" s="52"/>
      <c r="H254" s="52"/>
      <c r="I254" s="52"/>
      <c r="J254" s="52"/>
    </row>
    <row r="255" spans="1:10" x14ac:dyDescent="0.2">
      <c r="A255" s="491" t="s">
        <v>1296</v>
      </c>
      <c r="B255" s="491"/>
      <c r="C255" s="524">
        <v>25000</v>
      </c>
      <c r="D255" s="3">
        <v>20000</v>
      </c>
      <c r="E255" s="244" t="s">
        <v>2033</v>
      </c>
      <c r="F255" s="3"/>
      <c r="G255" s="52"/>
      <c r="H255" s="52"/>
      <c r="I255" s="52"/>
      <c r="J255" s="52"/>
    </row>
    <row r="256" spans="1:10" x14ac:dyDescent="0.2">
      <c r="A256" s="491" t="s">
        <v>1297</v>
      </c>
      <c r="B256" s="491"/>
      <c r="C256" s="524">
        <v>5000</v>
      </c>
      <c r="D256" s="3">
        <v>3000</v>
      </c>
      <c r="E256" s="3"/>
      <c r="F256" s="3"/>
      <c r="G256" s="52"/>
      <c r="H256" s="52"/>
      <c r="I256" s="52"/>
      <c r="J256" s="52"/>
    </row>
    <row r="257" spans="1:10" x14ac:dyDescent="0.2">
      <c r="A257" s="491" t="s">
        <v>1037</v>
      </c>
      <c r="B257" s="491"/>
      <c r="C257" s="524">
        <v>5000</v>
      </c>
      <c r="D257" s="3">
        <v>1000</v>
      </c>
      <c r="E257" s="244" t="s">
        <v>2033</v>
      </c>
      <c r="F257" s="3"/>
      <c r="G257" s="52"/>
      <c r="H257" s="52"/>
      <c r="I257" s="52"/>
      <c r="J257" s="52"/>
    </row>
    <row r="258" spans="1:10" x14ac:dyDescent="0.2">
      <c r="A258" s="491" t="s">
        <v>65</v>
      </c>
      <c r="B258" s="491"/>
      <c r="C258" s="524">
        <v>25000</v>
      </c>
      <c r="D258" s="3">
        <v>20000</v>
      </c>
      <c r="E258" s="244" t="s">
        <v>2033</v>
      </c>
      <c r="F258" s="3"/>
      <c r="G258" s="52"/>
      <c r="H258" s="52"/>
      <c r="I258" s="52"/>
      <c r="J258" s="52"/>
    </row>
    <row r="259" spans="1:10" x14ac:dyDescent="0.2">
      <c r="A259" s="491" t="s">
        <v>2281</v>
      </c>
      <c r="B259" s="491"/>
      <c r="C259" s="524">
        <v>25000</v>
      </c>
      <c r="D259" s="3">
        <v>15000</v>
      </c>
      <c r="E259" s="244" t="s">
        <v>2033</v>
      </c>
      <c r="F259" s="3"/>
      <c r="G259" s="52"/>
      <c r="H259" s="52"/>
      <c r="I259" s="52"/>
      <c r="J259" s="52"/>
    </row>
    <row r="260" spans="1:10" x14ac:dyDescent="0.2">
      <c r="A260" s="34" t="s">
        <v>2449</v>
      </c>
      <c r="B260" s="491"/>
      <c r="C260" s="524">
        <v>20000</v>
      </c>
      <c r="D260" s="3">
        <v>15000</v>
      </c>
      <c r="E260" s="1"/>
      <c r="F260" s="3"/>
      <c r="G260" s="52"/>
      <c r="H260" s="52"/>
      <c r="I260" s="52"/>
      <c r="J260" s="52"/>
    </row>
    <row r="261" spans="1:10" x14ac:dyDescent="0.2">
      <c r="A261" s="491" t="s">
        <v>2121</v>
      </c>
      <c r="B261" s="491"/>
      <c r="C261" s="524">
        <f t="shared" ref="C261:C262" si="6">+D261*1.1</f>
        <v>11000</v>
      </c>
      <c r="D261" s="427">
        <v>10000</v>
      </c>
      <c r="E261" s="1"/>
      <c r="F261" s="3"/>
      <c r="G261" s="52"/>
      <c r="H261" s="52"/>
      <c r="I261" s="52"/>
      <c r="J261" s="52"/>
    </row>
    <row r="262" spans="1:10" x14ac:dyDescent="0.2">
      <c r="A262" s="491" t="s">
        <v>2122</v>
      </c>
      <c r="B262" s="491"/>
      <c r="C262" s="524">
        <f t="shared" si="6"/>
        <v>11000</v>
      </c>
      <c r="D262" s="3">
        <v>10000</v>
      </c>
      <c r="E262" s="1"/>
      <c r="F262" s="3"/>
      <c r="G262" s="52"/>
      <c r="H262" s="52"/>
      <c r="I262" s="52"/>
      <c r="J262" s="52"/>
    </row>
    <row r="263" spans="1:10" x14ac:dyDescent="0.2">
      <c r="A263" s="491" t="s">
        <v>2123</v>
      </c>
      <c r="B263" s="491"/>
      <c r="C263" s="524">
        <v>5000</v>
      </c>
      <c r="D263" s="11">
        <v>2500</v>
      </c>
      <c r="E263" s="1"/>
      <c r="F263" s="3"/>
      <c r="G263" s="52"/>
      <c r="H263" s="52"/>
      <c r="I263" s="52"/>
      <c r="J263" s="52"/>
    </row>
    <row r="264" spans="1:10" x14ac:dyDescent="0.2">
      <c r="A264" s="491" t="s">
        <v>2151</v>
      </c>
      <c r="B264" s="491"/>
      <c r="C264" s="524">
        <v>10000</v>
      </c>
      <c r="D264" s="3">
        <v>5000</v>
      </c>
      <c r="E264" s="1"/>
      <c r="F264" s="3"/>
      <c r="G264" s="52"/>
      <c r="H264" s="52"/>
      <c r="I264" s="52"/>
      <c r="J264" s="52"/>
    </row>
    <row r="265" spans="1:10" x14ac:dyDescent="0.2">
      <c r="A265" s="491" t="s">
        <v>2034</v>
      </c>
      <c r="B265" s="491"/>
      <c r="C265" s="525">
        <v>15000</v>
      </c>
      <c r="D265" s="3">
        <v>0</v>
      </c>
      <c r="E265" s="1"/>
      <c r="F265" s="3"/>
      <c r="G265" s="52"/>
      <c r="H265" s="52"/>
      <c r="I265" s="52"/>
      <c r="J265" s="52"/>
    </row>
    <row r="266" spans="1:10" ht="38.25" x14ac:dyDescent="0.2">
      <c r="A266" s="491" t="s">
        <v>2450</v>
      </c>
      <c r="B266" s="34" t="s">
        <v>2564</v>
      </c>
      <c r="C266" s="525">
        <v>20000</v>
      </c>
      <c r="D266" s="3">
        <v>25000</v>
      </c>
      <c r="E266" s="1"/>
      <c r="F266" s="3"/>
      <c r="G266" s="52"/>
      <c r="H266" s="52"/>
      <c r="I266" s="52"/>
      <c r="J266" s="52"/>
    </row>
    <row r="267" spans="1:10" ht="41.25" x14ac:dyDescent="0.2">
      <c r="A267" s="34" t="s">
        <v>2451</v>
      </c>
      <c r="B267" s="34" t="s">
        <v>2452</v>
      </c>
      <c r="C267" s="525"/>
      <c r="D267" s="3">
        <f>3500*13.12+15000</f>
        <v>60920</v>
      </c>
      <c r="E267" s="1"/>
      <c r="F267" s="3"/>
      <c r="G267" s="52"/>
      <c r="H267" s="52"/>
      <c r="I267" s="52"/>
      <c r="J267" s="52"/>
    </row>
    <row r="268" spans="1:10" ht="25.5" x14ac:dyDescent="0.2">
      <c r="A268" s="34" t="s">
        <v>2453</v>
      </c>
      <c r="B268" s="491"/>
      <c r="C268" s="525">
        <v>8000</v>
      </c>
      <c r="D268" s="3">
        <v>8000</v>
      </c>
      <c r="E268" s="1"/>
      <c r="F268" s="3"/>
      <c r="G268" s="52"/>
      <c r="H268" s="52"/>
      <c r="I268" s="52"/>
      <c r="J268" s="52"/>
    </row>
    <row r="269" spans="1:10" ht="25.5" x14ac:dyDescent="0.2">
      <c r="A269" s="34" t="s">
        <v>2454</v>
      </c>
      <c r="B269" s="491"/>
      <c r="C269" s="525">
        <v>10000</v>
      </c>
      <c r="D269" s="3">
        <v>7000</v>
      </c>
      <c r="E269" s="3"/>
      <c r="F269" s="3"/>
      <c r="G269" s="52"/>
      <c r="H269" s="52"/>
      <c r="I269" s="52"/>
      <c r="J269" s="52"/>
    </row>
    <row r="270" spans="1:10" ht="15" x14ac:dyDescent="0.35">
      <c r="A270" s="491" t="s">
        <v>2455</v>
      </c>
      <c r="B270" s="491"/>
      <c r="C270" s="526">
        <v>7000</v>
      </c>
      <c r="D270" s="14">
        <v>5000</v>
      </c>
      <c r="E270" s="3"/>
      <c r="F270" s="3"/>
      <c r="G270" s="52"/>
      <c r="H270" s="52"/>
      <c r="I270" s="52"/>
      <c r="J270" s="52"/>
    </row>
    <row r="271" spans="1:10" x14ac:dyDescent="0.2">
      <c r="A271" s="491" t="s">
        <v>1320</v>
      </c>
      <c r="B271" s="491"/>
      <c r="C271" s="525">
        <f>SUM(C253:C270)</f>
        <v>227000</v>
      </c>
      <c r="D271" s="3">
        <f>SUM(D254:D270)</f>
        <v>227420</v>
      </c>
      <c r="E271" s="3"/>
      <c r="F271" s="3"/>
      <c r="G271" s="52"/>
      <c r="H271" s="52"/>
      <c r="I271" s="52"/>
      <c r="J271" s="52"/>
    </row>
    <row r="272" spans="1:10" x14ac:dyDescent="0.2">
      <c r="A272" s="491"/>
      <c r="B272" s="491"/>
      <c r="C272" s="224"/>
      <c r="D272" s="3"/>
      <c r="E272" s="3"/>
      <c r="F272" s="3"/>
      <c r="G272" s="52"/>
      <c r="H272" s="52"/>
      <c r="I272" s="52"/>
      <c r="J272" s="52"/>
    </row>
    <row r="273" spans="1:10" ht="13.5" x14ac:dyDescent="0.25">
      <c r="A273" s="494" t="s">
        <v>1056</v>
      </c>
      <c r="B273" s="491"/>
      <c r="C273" s="3"/>
      <c r="D273" s="3"/>
      <c r="E273" s="3">
        <v>29334</v>
      </c>
      <c r="F273" s="3">
        <v>30000</v>
      </c>
      <c r="G273" s="3">
        <v>30000</v>
      </c>
      <c r="H273" s="3">
        <v>30000</v>
      </c>
      <c r="I273" s="3">
        <v>30000</v>
      </c>
      <c r="J273" s="3"/>
    </row>
    <row r="274" spans="1:10" x14ac:dyDescent="0.2">
      <c r="A274" s="491" t="s">
        <v>1972</v>
      </c>
      <c r="B274" s="491"/>
      <c r="C274" s="3"/>
      <c r="D274" s="3">
        <v>30000</v>
      </c>
      <c r="E274" s="3"/>
      <c r="F274" s="3"/>
      <c r="G274" s="491"/>
      <c r="H274" s="475"/>
      <c r="I274" s="557"/>
      <c r="J274" s="557"/>
    </row>
    <row r="275" spans="1:10" x14ac:dyDescent="0.2">
      <c r="A275" s="491"/>
      <c r="B275" s="491"/>
      <c r="C275" s="3"/>
      <c r="D275" s="3"/>
      <c r="E275" s="3"/>
      <c r="F275" s="3"/>
      <c r="G275" s="491"/>
      <c r="H275" s="475"/>
      <c r="I275" s="557"/>
      <c r="J275" s="557"/>
    </row>
    <row r="276" spans="1:10" ht="13.5" x14ac:dyDescent="0.25">
      <c r="A276" s="494" t="s">
        <v>1057</v>
      </c>
      <c r="B276" s="491"/>
      <c r="C276" s="224"/>
      <c r="D276" s="11" t="s">
        <v>418</v>
      </c>
      <c r="E276" s="3">
        <v>76320</v>
      </c>
      <c r="F276" s="53">
        <v>30619</v>
      </c>
      <c r="G276" s="235">
        <v>31119</v>
      </c>
      <c r="H276" s="235">
        <v>31119</v>
      </c>
      <c r="I276" s="235">
        <v>31119</v>
      </c>
      <c r="J276" s="235"/>
    </row>
    <row r="277" spans="1:10" x14ac:dyDescent="0.2">
      <c r="A277" s="491" t="s">
        <v>1058</v>
      </c>
      <c r="B277" s="491"/>
      <c r="C277" s="224"/>
      <c r="D277" s="3">
        <v>650</v>
      </c>
      <c r="E277" s="3"/>
      <c r="F277" s="3"/>
      <c r="G277" s="52"/>
      <c r="H277" s="52"/>
      <c r="I277" s="52"/>
      <c r="J277" s="52"/>
    </row>
    <row r="278" spans="1:10" x14ac:dyDescent="0.2">
      <c r="A278" s="491" t="s">
        <v>2282</v>
      </c>
      <c r="B278" s="491"/>
      <c r="C278" s="345" t="s">
        <v>2033</v>
      </c>
      <c r="D278" s="3">
        <v>2500</v>
      </c>
      <c r="E278" s="3"/>
      <c r="F278" s="3"/>
      <c r="G278" s="52"/>
      <c r="H278" s="52"/>
      <c r="I278" s="52"/>
      <c r="J278" s="52"/>
    </row>
    <row r="279" spans="1:10" x14ac:dyDescent="0.2">
      <c r="A279" s="491" t="s">
        <v>184</v>
      </c>
      <c r="B279" s="491"/>
      <c r="C279" s="224"/>
      <c r="D279" s="3">
        <v>500</v>
      </c>
      <c r="E279" s="244" t="s">
        <v>2033</v>
      </c>
      <c r="F279" s="3"/>
      <c r="G279" s="52"/>
      <c r="H279" s="52"/>
      <c r="I279" s="52"/>
      <c r="J279" s="52"/>
    </row>
    <row r="280" spans="1:10" x14ac:dyDescent="0.2">
      <c r="A280" s="491" t="s">
        <v>1718</v>
      </c>
      <c r="B280" s="491"/>
      <c r="C280" s="224"/>
      <c r="D280" s="3">
        <v>20000</v>
      </c>
      <c r="E280" s="244" t="s">
        <v>2033</v>
      </c>
      <c r="F280" s="3"/>
      <c r="G280" s="52"/>
      <c r="H280" s="52"/>
      <c r="I280" s="52"/>
      <c r="J280" s="52"/>
    </row>
    <row r="281" spans="1:10" x14ac:dyDescent="0.2">
      <c r="A281" s="491" t="s">
        <v>1719</v>
      </c>
      <c r="B281" s="491"/>
      <c r="C281" s="224"/>
      <c r="D281" s="3">
        <v>2584</v>
      </c>
      <c r="E281" s="3"/>
      <c r="F281" s="3"/>
      <c r="G281" s="52"/>
      <c r="H281" s="52"/>
      <c r="I281" s="52"/>
      <c r="J281" s="52"/>
    </row>
    <row r="282" spans="1:10" x14ac:dyDescent="0.2">
      <c r="A282" s="491" t="s">
        <v>932</v>
      </c>
      <c r="B282" s="491"/>
      <c r="C282" s="224"/>
      <c r="D282" s="3">
        <v>885</v>
      </c>
      <c r="E282" s="3"/>
      <c r="F282" s="3"/>
      <c r="G282" s="52"/>
      <c r="H282" s="52"/>
      <c r="I282" s="52"/>
      <c r="J282" s="52"/>
    </row>
    <row r="283" spans="1:10" x14ac:dyDescent="0.2">
      <c r="A283" s="491" t="s">
        <v>107</v>
      </c>
      <c r="B283" s="491"/>
      <c r="C283" s="224"/>
      <c r="D283" s="4">
        <v>500</v>
      </c>
      <c r="E283" s="3"/>
      <c r="F283" s="3"/>
      <c r="G283" s="52"/>
      <c r="H283" s="52"/>
      <c r="I283" s="52"/>
      <c r="J283" s="52"/>
    </row>
    <row r="284" spans="1:10" ht="15" x14ac:dyDescent="0.35">
      <c r="A284" s="491" t="s">
        <v>1298</v>
      </c>
      <c r="B284" s="491"/>
      <c r="C284" s="224"/>
      <c r="D284" s="14">
        <v>3500</v>
      </c>
      <c r="E284" s="3"/>
      <c r="F284" s="3"/>
      <c r="G284" s="52"/>
      <c r="H284" s="52"/>
      <c r="I284" s="52"/>
      <c r="J284" s="52"/>
    </row>
    <row r="285" spans="1:10" x14ac:dyDescent="0.2">
      <c r="A285" s="491" t="s">
        <v>1320</v>
      </c>
      <c r="B285" s="491"/>
      <c r="C285" s="224"/>
      <c r="D285" s="3">
        <f>SUM(D277:D284)</f>
        <v>31119</v>
      </c>
      <c r="E285" s="3"/>
      <c r="F285" s="3"/>
      <c r="G285" s="52"/>
      <c r="H285" s="52"/>
      <c r="I285" s="52"/>
      <c r="J285" s="52"/>
    </row>
    <row r="286" spans="1:10" x14ac:dyDescent="0.2">
      <c r="A286" s="491"/>
      <c r="B286" s="491"/>
      <c r="C286" s="3"/>
      <c r="D286" s="3"/>
      <c r="E286" s="3"/>
      <c r="F286" s="3"/>
      <c r="G286" s="52"/>
      <c r="H286" s="52"/>
      <c r="I286" s="52"/>
      <c r="J286" s="52"/>
    </row>
    <row r="287" spans="1:10" ht="13.5" x14ac:dyDescent="0.25">
      <c r="A287" s="494" t="s">
        <v>488</v>
      </c>
      <c r="B287" s="491"/>
      <c r="C287" s="3"/>
      <c r="D287" s="3"/>
      <c r="E287" s="3">
        <v>38588</v>
      </c>
      <c r="F287" s="3">
        <v>42500</v>
      </c>
      <c r="G287" s="52">
        <v>42500</v>
      </c>
      <c r="H287" s="52">
        <v>42500</v>
      </c>
      <c r="I287" s="52">
        <v>42500</v>
      </c>
      <c r="J287" s="52"/>
    </row>
    <row r="288" spans="1:10" x14ac:dyDescent="0.2">
      <c r="A288" s="491" t="s">
        <v>2035</v>
      </c>
      <c r="B288" s="491"/>
      <c r="C288" s="53" t="s">
        <v>2033</v>
      </c>
      <c r="D288" s="3">
        <v>30000</v>
      </c>
      <c r="E288" s="1"/>
      <c r="F288" s="3"/>
      <c r="G288" s="52"/>
      <c r="H288" s="52"/>
      <c r="I288" s="52"/>
      <c r="J288" s="52"/>
    </row>
    <row r="289" spans="1:10" ht="15" x14ac:dyDescent="0.35">
      <c r="A289" s="47" t="s">
        <v>2456</v>
      </c>
      <c r="B289" s="491"/>
      <c r="C289" s="16" t="s">
        <v>2033</v>
      </c>
      <c r="D289" s="33">
        <v>12500</v>
      </c>
      <c r="E289" s="1"/>
      <c r="F289" s="3"/>
      <c r="G289" s="52"/>
      <c r="H289" s="52"/>
      <c r="I289" s="52"/>
      <c r="J289" s="52"/>
    </row>
    <row r="290" spans="1:10" x14ac:dyDescent="0.2">
      <c r="A290" s="47"/>
      <c r="B290" s="491"/>
      <c r="C290" s="53" t="s">
        <v>2033</v>
      </c>
      <c r="D290" s="4">
        <f>SUM(D288:D289)</f>
        <v>42500</v>
      </c>
      <c r="E290" s="3"/>
      <c r="F290" s="3"/>
      <c r="G290" s="52"/>
      <c r="H290" s="52"/>
      <c r="I290" s="52"/>
      <c r="J290" s="52"/>
    </row>
    <row r="291" spans="1:10" x14ac:dyDescent="0.2">
      <c r="A291" s="47"/>
      <c r="B291" s="491"/>
      <c r="C291" s="53"/>
      <c r="D291" s="4"/>
      <c r="E291" s="3"/>
      <c r="F291" s="3"/>
      <c r="G291" s="52"/>
      <c r="H291" s="52"/>
      <c r="I291" s="52"/>
      <c r="J291" s="52"/>
    </row>
    <row r="292" spans="1:10" ht="13.5" x14ac:dyDescent="0.25">
      <c r="A292" s="494" t="s">
        <v>963</v>
      </c>
      <c r="B292" s="491"/>
      <c r="C292" s="11" t="s">
        <v>418</v>
      </c>
      <c r="D292" s="11" t="s">
        <v>418</v>
      </c>
      <c r="E292" s="3">
        <v>5300</v>
      </c>
      <c r="F292" s="3">
        <v>5000</v>
      </c>
      <c r="G292" s="52">
        <v>5000</v>
      </c>
      <c r="H292" s="52">
        <v>5000</v>
      </c>
      <c r="I292" s="52">
        <v>5000</v>
      </c>
      <c r="J292" s="52"/>
    </row>
    <row r="293" spans="1:10" x14ac:dyDescent="0.2">
      <c r="A293" s="491" t="s">
        <v>1720</v>
      </c>
      <c r="B293" s="491"/>
      <c r="C293" s="3"/>
      <c r="D293" s="3">
        <v>4000</v>
      </c>
      <c r="E293" s="3"/>
      <c r="F293" s="3"/>
      <c r="G293" s="52"/>
      <c r="H293" s="52"/>
      <c r="I293" s="52"/>
      <c r="J293" s="52"/>
    </row>
    <row r="294" spans="1:10" ht="15" x14ac:dyDescent="0.35">
      <c r="A294" s="491" t="s">
        <v>1350</v>
      </c>
      <c r="B294" s="491"/>
      <c r="C294" s="14"/>
      <c r="D294" s="14">
        <v>1000</v>
      </c>
      <c r="E294" s="3"/>
      <c r="F294" s="3"/>
      <c r="G294" s="52"/>
      <c r="H294" s="52"/>
      <c r="I294" s="52"/>
      <c r="J294" s="52"/>
    </row>
    <row r="295" spans="1:10" x14ac:dyDescent="0.2">
      <c r="A295" s="491" t="s">
        <v>1320</v>
      </c>
      <c r="B295" s="491"/>
      <c r="C295" s="3"/>
      <c r="D295" s="3">
        <v>5000</v>
      </c>
      <c r="E295" s="3"/>
      <c r="F295" s="3"/>
      <c r="G295" s="52"/>
      <c r="H295" s="52"/>
      <c r="I295" s="52"/>
      <c r="J295" s="52"/>
    </row>
    <row r="296" spans="1:10" x14ac:dyDescent="0.2">
      <c r="A296" s="491"/>
      <c r="B296" s="491"/>
      <c r="C296" s="3"/>
      <c r="D296" s="3"/>
      <c r="E296" s="3"/>
      <c r="F296" s="3"/>
      <c r="G296" s="52"/>
      <c r="H296" s="52"/>
      <c r="I296" s="52"/>
      <c r="J296" s="52"/>
    </row>
    <row r="297" spans="1:10" ht="13.5" x14ac:dyDescent="0.25">
      <c r="A297" s="494" t="s">
        <v>455</v>
      </c>
      <c r="B297" s="491" t="s">
        <v>2563</v>
      </c>
      <c r="C297" s="22"/>
      <c r="D297" s="22"/>
      <c r="E297" s="3">
        <v>382668</v>
      </c>
      <c r="F297" s="3">
        <v>373241</v>
      </c>
      <c r="G297" s="3">
        <f>+C306</f>
        <v>388998</v>
      </c>
      <c r="H297" s="3">
        <v>388998</v>
      </c>
      <c r="I297" s="3">
        <v>388998</v>
      </c>
      <c r="J297" s="3"/>
    </row>
    <row r="298" spans="1:10" x14ac:dyDescent="0.2">
      <c r="A298" s="491" t="s">
        <v>1721</v>
      </c>
      <c r="B298" s="491"/>
      <c r="C298" s="3">
        <v>341673</v>
      </c>
      <c r="D298" s="3"/>
      <c r="E298" s="3"/>
      <c r="F298" s="3"/>
      <c r="G298" s="52"/>
      <c r="H298" s="52"/>
      <c r="I298" s="52"/>
      <c r="J298" s="52"/>
    </row>
    <row r="299" spans="1:10" x14ac:dyDescent="0.2">
      <c r="A299" s="491" t="s">
        <v>2071</v>
      </c>
      <c r="B299" s="230">
        <v>20000</v>
      </c>
      <c r="C299" s="3">
        <v>20000</v>
      </c>
      <c r="D299" s="3"/>
      <c r="E299" s="3"/>
      <c r="F299" s="3"/>
      <c r="G299" s="52"/>
      <c r="H299" s="52"/>
      <c r="I299" s="52"/>
      <c r="J299" s="52"/>
    </row>
    <row r="300" spans="1:10" x14ac:dyDescent="0.2">
      <c r="A300" s="491" t="s">
        <v>456</v>
      </c>
      <c r="B300" s="230">
        <v>20000</v>
      </c>
      <c r="C300" s="3">
        <v>20000</v>
      </c>
      <c r="D300" s="3"/>
      <c r="E300" s="3"/>
      <c r="F300" s="3"/>
      <c r="G300" s="52"/>
      <c r="H300" s="52"/>
      <c r="I300" s="52"/>
      <c r="J300" s="52"/>
    </row>
    <row r="301" spans="1:10" x14ac:dyDescent="0.2">
      <c r="A301" s="491" t="s">
        <v>1722</v>
      </c>
      <c r="B301" s="491"/>
      <c r="C301" s="3">
        <v>2500</v>
      </c>
      <c r="D301" s="3"/>
      <c r="E301" s="3"/>
      <c r="F301" s="3"/>
      <c r="G301" s="52"/>
      <c r="H301" s="52"/>
      <c r="I301" s="52"/>
      <c r="J301" s="52"/>
    </row>
    <row r="302" spans="1:10" x14ac:dyDescent="0.2">
      <c r="A302" s="491" t="s">
        <v>1723</v>
      </c>
      <c r="B302" s="491"/>
      <c r="C302" s="3">
        <v>175</v>
      </c>
      <c r="D302" s="3"/>
      <c r="E302" s="3"/>
      <c r="F302" s="3"/>
      <c r="G302" s="52"/>
      <c r="H302" s="52"/>
      <c r="I302" s="52"/>
      <c r="J302" s="52"/>
    </row>
    <row r="303" spans="1:10" x14ac:dyDescent="0.2">
      <c r="A303" s="491" t="s">
        <v>185</v>
      </c>
      <c r="B303" s="491"/>
      <c r="C303" s="3">
        <v>0</v>
      </c>
      <c r="D303" s="3"/>
      <c r="E303" s="3"/>
      <c r="F303" s="3"/>
      <c r="G303" s="52"/>
      <c r="H303" s="52"/>
      <c r="I303" s="52"/>
      <c r="J303" s="52"/>
    </row>
    <row r="304" spans="1:10" x14ac:dyDescent="0.2">
      <c r="A304" s="491" t="s">
        <v>1779</v>
      </c>
      <c r="B304" s="491"/>
      <c r="C304" s="3">
        <v>3000</v>
      </c>
      <c r="D304" s="3"/>
      <c r="E304" s="3"/>
      <c r="F304" s="3"/>
      <c r="G304" s="52"/>
      <c r="H304" s="52"/>
      <c r="I304" s="52"/>
      <c r="J304" s="52"/>
    </row>
    <row r="305" spans="1:10" ht="15" x14ac:dyDescent="0.35">
      <c r="A305" s="491" t="s">
        <v>626</v>
      </c>
      <c r="B305" s="491"/>
      <c r="C305" s="14">
        <v>1650</v>
      </c>
      <c r="D305" s="14"/>
      <c r="E305" s="3"/>
      <c r="F305" s="3"/>
      <c r="G305" s="52"/>
      <c r="H305" s="52"/>
      <c r="I305" s="52"/>
      <c r="J305" s="52"/>
    </row>
    <row r="306" spans="1:10" x14ac:dyDescent="0.2">
      <c r="A306" s="491" t="s">
        <v>1320</v>
      </c>
      <c r="B306" s="491"/>
      <c r="C306" s="3">
        <f>SUM(C298:C305)</f>
        <v>388998</v>
      </c>
      <c r="D306" s="3">
        <f>SUM(D298:D305)</f>
        <v>0</v>
      </c>
      <c r="E306" s="3"/>
      <c r="F306" s="3"/>
      <c r="G306" s="52"/>
      <c r="H306" s="52"/>
      <c r="I306" s="52"/>
      <c r="J306" s="52"/>
    </row>
    <row r="307" spans="1:10" x14ac:dyDescent="0.2">
      <c r="A307" s="491"/>
      <c r="B307" s="491"/>
      <c r="C307" s="3"/>
      <c r="D307" s="3"/>
      <c r="E307" s="3"/>
      <c r="F307" s="3"/>
      <c r="G307" s="52"/>
      <c r="H307" s="52"/>
      <c r="I307" s="52"/>
      <c r="J307" s="52"/>
    </row>
    <row r="308" spans="1:10" ht="13.5" x14ac:dyDescent="0.25">
      <c r="A308" s="494" t="s">
        <v>457</v>
      </c>
      <c r="B308" s="491"/>
      <c r="C308" s="3"/>
      <c r="D308" s="3"/>
      <c r="E308" s="3">
        <v>1556</v>
      </c>
      <c r="F308" s="3">
        <v>8000</v>
      </c>
      <c r="G308" s="3">
        <v>8000</v>
      </c>
      <c r="H308" s="3">
        <v>8000</v>
      </c>
      <c r="I308" s="3">
        <v>8000</v>
      </c>
      <c r="J308" s="3"/>
    </row>
    <row r="309" spans="1:10" x14ac:dyDescent="0.2">
      <c r="A309" s="27" t="s">
        <v>186</v>
      </c>
      <c r="B309" s="491"/>
      <c r="C309" s="3">
        <v>1000</v>
      </c>
      <c r="D309" s="3"/>
      <c r="E309" s="3"/>
      <c r="F309" s="3"/>
      <c r="G309" s="491"/>
      <c r="H309" s="475"/>
      <c r="I309" s="557"/>
      <c r="J309" s="557"/>
    </row>
    <row r="310" spans="1:10" x14ac:dyDescent="0.2">
      <c r="A310" s="491" t="s">
        <v>458</v>
      </c>
      <c r="B310" s="491"/>
      <c r="C310" s="3">
        <v>2000</v>
      </c>
      <c r="D310" s="3"/>
      <c r="E310" s="3"/>
      <c r="F310" s="3"/>
      <c r="G310" s="491"/>
      <c r="H310" s="475"/>
      <c r="I310" s="557"/>
      <c r="J310" s="557"/>
    </row>
    <row r="311" spans="1:10" ht="15" x14ac:dyDescent="0.35">
      <c r="A311" s="491" t="s">
        <v>1780</v>
      </c>
      <c r="B311" s="491"/>
      <c r="C311" s="14">
        <v>5000</v>
      </c>
      <c r="D311" s="14"/>
      <c r="E311" s="3"/>
      <c r="F311" s="3"/>
      <c r="G311" s="52"/>
      <c r="H311" s="52"/>
      <c r="I311" s="52"/>
      <c r="J311" s="52"/>
    </row>
    <row r="312" spans="1:10" x14ac:dyDescent="0.2">
      <c r="A312" s="491" t="s">
        <v>1320</v>
      </c>
      <c r="B312" s="491"/>
      <c r="C312" s="3">
        <f>SUM(C309:C311)</f>
        <v>8000</v>
      </c>
      <c r="D312" s="3">
        <f>SUM(D309:D311)</f>
        <v>0</v>
      </c>
      <c r="E312" s="3"/>
      <c r="F312" s="3"/>
      <c r="G312" s="52"/>
      <c r="H312" s="52"/>
      <c r="I312" s="52"/>
      <c r="J312" s="52"/>
    </row>
    <row r="313" spans="1:10" x14ac:dyDescent="0.2">
      <c r="A313" s="491"/>
      <c r="B313" s="491"/>
      <c r="C313" s="3"/>
      <c r="D313" s="3"/>
      <c r="E313" s="3"/>
      <c r="F313" s="3"/>
      <c r="G313" s="52"/>
      <c r="H313" s="52"/>
      <c r="I313" s="52"/>
      <c r="J313" s="52"/>
    </row>
    <row r="314" spans="1:10" ht="13.5" x14ac:dyDescent="0.25">
      <c r="A314" s="494" t="s">
        <v>415</v>
      </c>
      <c r="B314" s="491"/>
      <c r="C314" s="3"/>
      <c r="D314" s="3"/>
      <c r="E314" s="3">
        <v>497</v>
      </c>
      <c r="F314" s="3">
        <v>500</v>
      </c>
      <c r="G314" s="52">
        <v>500</v>
      </c>
      <c r="H314" s="52">
        <v>500</v>
      </c>
      <c r="I314" s="52">
        <v>500</v>
      </c>
      <c r="J314" s="52"/>
    </row>
    <row r="315" spans="1:10" x14ac:dyDescent="0.2">
      <c r="A315" s="491" t="s">
        <v>865</v>
      </c>
      <c r="B315" s="491"/>
      <c r="C315" s="3">
        <v>500</v>
      </c>
      <c r="D315" s="3">
        <v>0</v>
      </c>
      <c r="E315" s="3"/>
      <c r="F315" s="3"/>
      <c r="G315" s="52"/>
      <c r="H315" s="52"/>
      <c r="I315" s="52"/>
      <c r="J315" s="52"/>
    </row>
    <row r="316" spans="1:10" x14ac:dyDescent="0.2">
      <c r="A316" s="491"/>
      <c r="B316" s="491"/>
      <c r="C316" s="3"/>
      <c r="D316" s="3"/>
      <c r="E316" s="3"/>
      <c r="F316" s="3"/>
      <c r="G316" s="52"/>
      <c r="H316" s="52"/>
      <c r="I316" s="52"/>
      <c r="J316" s="52"/>
    </row>
    <row r="317" spans="1:10" ht="13.5" x14ac:dyDescent="0.25">
      <c r="A317" s="494" t="s">
        <v>866</v>
      </c>
      <c r="B317" s="491"/>
      <c r="C317" s="3"/>
      <c r="D317" s="3"/>
      <c r="E317" s="3">
        <v>522</v>
      </c>
      <c r="F317" s="3">
        <v>500</v>
      </c>
      <c r="G317" s="52">
        <v>500</v>
      </c>
      <c r="H317" s="52">
        <v>500</v>
      </c>
      <c r="I317" s="52">
        <v>500</v>
      </c>
      <c r="J317" s="52"/>
    </row>
    <row r="318" spans="1:10" ht="25.5" x14ac:dyDescent="0.2">
      <c r="A318" s="34" t="s">
        <v>2565</v>
      </c>
      <c r="B318" s="491"/>
      <c r="C318" s="3">
        <v>500</v>
      </c>
      <c r="D318" s="3">
        <v>0</v>
      </c>
      <c r="E318" s="3"/>
      <c r="F318" s="3"/>
      <c r="G318" s="52"/>
      <c r="H318" s="52"/>
      <c r="I318" s="52"/>
      <c r="J318" s="52"/>
    </row>
    <row r="319" spans="1:10" x14ac:dyDescent="0.2">
      <c r="A319" s="491"/>
      <c r="B319" s="491"/>
      <c r="C319" s="3"/>
      <c r="D319" s="3"/>
      <c r="E319" s="3"/>
      <c r="F319" s="295"/>
      <c r="G319" s="224"/>
      <c r="H319" s="224"/>
      <c r="I319" s="224"/>
      <c r="J319" s="224"/>
    </row>
    <row r="320" spans="1:10" s="364" customFormat="1" ht="13.5" x14ac:dyDescent="0.25">
      <c r="A320" s="494" t="s">
        <v>1922</v>
      </c>
      <c r="B320" s="491"/>
      <c r="C320" s="22"/>
      <c r="D320" s="22"/>
      <c r="E320" s="3">
        <v>0</v>
      </c>
      <c r="F320" s="3">
        <v>0</v>
      </c>
      <c r="G320" s="3">
        <v>0</v>
      </c>
      <c r="H320" s="3">
        <v>0</v>
      </c>
      <c r="I320" s="3">
        <v>0</v>
      </c>
      <c r="J320" s="3"/>
    </row>
    <row r="321" spans="1:10" s="364" customFormat="1" x14ac:dyDescent="0.2">
      <c r="A321" s="27" t="s">
        <v>2152</v>
      </c>
      <c r="B321" s="294"/>
      <c r="C321" s="22">
        <v>0</v>
      </c>
      <c r="D321" s="22"/>
      <c r="E321" s="3"/>
      <c r="F321" s="295"/>
      <c r="G321" s="224"/>
      <c r="H321" s="224"/>
      <c r="I321" s="224"/>
      <c r="J321" s="224"/>
    </row>
    <row r="322" spans="1:10" s="364" customFormat="1" ht="13.5" x14ac:dyDescent="0.25">
      <c r="A322" s="494"/>
      <c r="B322" s="491"/>
      <c r="C322" s="22"/>
      <c r="D322" s="22"/>
      <c r="E322" s="3"/>
      <c r="F322" s="295"/>
      <c r="G322" s="224"/>
      <c r="H322" s="224"/>
      <c r="I322" s="224"/>
      <c r="J322" s="224"/>
    </row>
    <row r="323" spans="1:10" ht="13.5" x14ac:dyDescent="0.25">
      <c r="A323" s="494" t="s">
        <v>2299</v>
      </c>
      <c r="B323" s="491"/>
      <c r="C323" s="22"/>
      <c r="D323" s="22"/>
      <c r="E323" s="3">
        <v>64448</v>
      </c>
      <c r="F323" s="3">
        <v>0</v>
      </c>
      <c r="G323" s="52">
        <v>0</v>
      </c>
      <c r="H323" s="52">
        <v>0</v>
      </c>
      <c r="I323" s="52">
        <v>0</v>
      </c>
      <c r="J323" s="52"/>
    </row>
    <row r="324" spans="1:10" ht="15" x14ac:dyDescent="0.35">
      <c r="A324" s="27"/>
      <c r="B324" s="491"/>
      <c r="C324" s="3">
        <v>0</v>
      </c>
      <c r="D324" s="14">
        <v>0</v>
      </c>
      <c r="E324" s="3"/>
      <c r="F324" s="3"/>
      <c r="G324" s="52"/>
      <c r="H324" s="52"/>
      <c r="I324" s="52"/>
      <c r="J324" s="52"/>
    </row>
    <row r="325" spans="1:10" ht="15" x14ac:dyDescent="0.35">
      <c r="A325" s="27"/>
      <c r="B325" s="491"/>
      <c r="C325" s="33"/>
      <c r="D325" s="4">
        <f>SUM(D324:D324)</f>
        <v>0</v>
      </c>
      <c r="E325" s="3"/>
      <c r="F325" s="3"/>
      <c r="G325" s="52"/>
      <c r="H325" s="52"/>
      <c r="I325" s="52"/>
      <c r="J325" s="52"/>
    </row>
    <row r="326" spans="1:10" x14ac:dyDescent="0.2">
      <c r="A326" s="491"/>
      <c r="B326" s="491"/>
      <c r="C326" s="3"/>
      <c r="D326" s="3"/>
      <c r="E326" s="3"/>
      <c r="F326" s="3"/>
      <c r="G326" s="52"/>
      <c r="H326" s="52"/>
      <c r="I326" s="52"/>
      <c r="J326" s="52"/>
    </row>
    <row r="327" spans="1:10" ht="13.5" x14ac:dyDescent="0.25">
      <c r="A327" s="494" t="s">
        <v>260</v>
      </c>
      <c r="B327" s="491"/>
      <c r="C327" s="22"/>
      <c r="D327" s="22"/>
      <c r="E327" s="3">
        <v>1951</v>
      </c>
      <c r="F327" s="3">
        <v>5000</v>
      </c>
      <c r="G327" s="52">
        <v>5000</v>
      </c>
      <c r="H327" s="52">
        <v>5000</v>
      </c>
      <c r="I327" s="52">
        <v>5000</v>
      </c>
      <c r="J327" s="52"/>
    </row>
    <row r="328" spans="1:10" ht="15" x14ac:dyDescent="0.35">
      <c r="A328" s="27" t="s">
        <v>1724</v>
      </c>
      <c r="B328" s="491"/>
      <c r="C328" s="3">
        <v>5000</v>
      </c>
      <c r="D328" s="14">
        <v>5000</v>
      </c>
      <c r="E328" s="3"/>
      <c r="F328" s="3"/>
      <c r="G328" s="52"/>
      <c r="H328" s="52"/>
      <c r="I328" s="52"/>
      <c r="J328" s="52"/>
    </row>
    <row r="329" spans="1:10" ht="15" x14ac:dyDescent="0.35">
      <c r="A329" s="27"/>
      <c r="B329" s="491"/>
      <c r="C329" s="33"/>
      <c r="D329" s="4">
        <f>SUM(D328:D328)</f>
        <v>5000</v>
      </c>
      <c r="E329" s="3"/>
      <c r="F329" s="3"/>
      <c r="G329" s="52"/>
      <c r="H329" s="52"/>
      <c r="I329" s="52"/>
      <c r="J329" s="52"/>
    </row>
    <row r="330" spans="1:10" ht="15" x14ac:dyDescent="0.35">
      <c r="A330" s="27"/>
      <c r="B330" s="491"/>
      <c r="C330" s="33"/>
      <c r="D330" s="33"/>
      <c r="E330" s="3"/>
      <c r="F330" s="3"/>
      <c r="G330" s="52"/>
      <c r="H330" s="52"/>
      <c r="I330" s="52"/>
      <c r="J330" s="52"/>
    </row>
    <row r="331" spans="1:10" ht="13.5" x14ac:dyDescent="0.25">
      <c r="A331" s="494" t="s">
        <v>1923</v>
      </c>
      <c r="B331" s="491"/>
      <c r="C331" s="3"/>
      <c r="D331" s="3"/>
      <c r="E331" s="4">
        <v>0</v>
      </c>
      <c r="F331" s="3">
        <v>25000</v>
      </c>
      <c r="G331" s="52">
        <v>35000</v>
      </c>
      <c r="H331" s="52">
        <v>35000</v>
      </c>
      <c r="I331" s="52">
        <v>35000</v>
      </c>
      <c r="J331" s="52"/>
    </row>
    <row r="332" spans="1:10" x14ac:dyDescent="0.2">
      <c r="A332" s="27" t="s">
        <v>2124</v>
      </c>
      <c r="B332" s="291"/>
      <c r="C332" s="346"/>
      <c r="D332" s="3">
        <v>35000</v>
      </c>
      <c r="E332" s="4"/>
      <c r="F332" s="3"/>
      <c r="G332" s="52"/>
      <c r="H332" s="52"/>
      <c r="I332" s="52"/>
      <c r="J332" s="52"/>
    </row>
    <row r="333" spans="1:10" ht="15" x14ac:dyDescent="0.35">
      <c r="A333" s="27"/>
      <c r="B333" s="491"/>
      <c r="C333" s="33"/>
      <c r="D333" s="33"/>
      <c r="E333" s="3"/>
      <c r="F333" s="3"/>
      <c r="G333" s="52"/>
      <c r="H333" s="52"/>
      <c r="I333" s="52"/>
      <c r="J333" s="52"/>
    </row>
    <row r="334" spans="1:10" ht="13.5" x14ac:dyDescent="0.25">
      <c r="A334" s="494" t="s">
        <v>1085</v>
      </c>
      <c r="B334" s="491"/>
      <c r="C334" s="3"/>
      <c r="D334" s="3"/>
      <c r="E334" s="4">
        <v>0</v>
      </c>
      <c r="F334" s="3">
        <v>27000</v>
      </c>
      <c r="G334" s="52">
        <v>27000</v>
      </c>
      <c r="H334" s="52">
        <v>27000</v>
      </c>
      <c r="I334" s="52">
        <v>27000</v>
      </c>
      <c r="J334" s="52"/>
    </row>
    <row r="335" spans="1:10" x14ac:dyDescent="0.2">
      <c r="A335" s="27" t="s">
        <v>2457</v>
      </c>
      <c r="B335" s="491"/>
      <c r="C335" s="230"/>
      <c r="D335" s="65">
        <v>27000</v>
      </c>
      <c r="E335" s="4"/>
      <c r="F335" s="491"/>
      <c r="G335" s="52"/>
      <c r="H335" s="52"/>
      <c r="I335" s="52"/>
      <c r="J335" s="52"/>
    </row>
    <row r="336" spans="1:10" x14ac:dyDescent="0.2">
      <c r="A336" s="491"/>
      <c r="B336" s="491"/>
      <c r="C336" s="37">
        <v>0</v>
      </c>
      <c r="D336" s="37">
        <v>0</v>
      </c>
      <c r="E336" s="4"/>
      <c r="F336" s="78"/>
      <c r="G336" s="491"/>
      <c r="H336" s="475"/>
      <c r="I336" s="557"/>
      <c r="J336" s="557"/>
    </row>
    <row r="337" spans="1:10" x14ac:dyDescent="0.2">
      <c r="A337" s="491"/>
      <c r="B337" s="491"/>
      <c r="C337" s="3">
        <f>SUM(C335:C336)</f>
        <v>0</v>
      </c>
      <c r="D337" s="3">
        <f>SUM(D335:D336)</f>
        <v>27000</v>
      </c>
      <c r="E337" s="4"/>
      <c r="F337" s="52"/>
      <c r="G337" s="491"/>
      <c r="H337" s="475"/>
      <c r="I337" s="557"/>
      <c r="J337" s="557"/>
    </row>
    <row r="338" spans="1:10" x14ac:dyDescent="0.2">
      <c r="A338" s="491"/>
      <c r="B338" s="491"/>
      <c r="C338" s="3"/>
      <c r="D338" s="3"/>
      <c r="E338" s="4"/>
      <c r="F338" s="52"/>
      <c r="G338" s="491"/>
      <c r="H338" s="475"/>
      <c r="I338" s="557"/>
      <c r="J338" s="557"/>
    </row>
    <row r="339" spans="1:10" ht="13.5" x14ac:dyDescent="0.25">
      <c r="A339" s="494" t="s">
        <v>108</v>
      </c>
      <c r="B339" s="491"/>
      <c r="C339" s="491"/>
      <c r="D339" s="491"/>
      <c r="E339" s="3"/>
      <c r="F339" s="52"/>
      <c r="G339" s="52"/>
      <c r="H339" s="52"/>
      <c r="I339" s="52"/>
      <c r="J339" s="52"/>
    </row>
    <row r="340" spans="1:10" ht="15" x14ac:dyDescent="0.35">
      <c r="A340" s="416" t="s">
        <v>1725</v>
      </c>
      <c r="B340" s="3">
        <v>500000</v>
      </c>
      <c r="C340" s="3">
        <v>500000</v>
      </c>
      <c r="D340" s="230">
        <v>500000</v>
      </c>
      <c r="E340" s="14">
        <v>500000</v>
      </c>
      <c r="F340" s="14">
        <v>500000</v>
      </c>
      <c r="G340" s="14">
        <v>550000</v>
      </c>
      <c r="H340" s="14">
        <v>550000</v>
      </c>
      <c r="I340" s="14">
        <v>550000</v>
      </c>
      <c r="J340" s="14"/>
    </row>
    <row r="341" spans="1:10" x14ac:dyDescent="0.2">
      <c r="A341" s="48"/>
      <c r="B341" s="416"/>
      <c r="C341" s="49"/>
      <c r="D341" s="3"/>
      <c r="E341" s="3"/>
      <c r="F341" s="3"/>
      <c r="G341" s="3"/>
      <c r="I341" s="3"/>
      <c r="J341" s="3"/>
    </row>
    <row r="342" spans="1:10" x14ac:dyDescent="0.2">
      <c r="A342" s="416" t="s">
        <v>1405</v>
      </c>
      <c r="B342" s="416"/>
      <c r="C342" s="416"/>
      <c r="D342" s="3"/>
      <c r="E342" s="3">
        <f>SUM(E6:E340)</f>
        <v>4433011</v>
      </c>
      <c r="F342" s="3">
        <f t="shared" ref="F342:J342" si="7">SUM(F6:F340)</f>
        <v>4698229</v>
      </c>
      <c r="G342" s="3">
        <f t="shared" si="7"/>
        <v>4928204.6500000004</v>
      </c>
      <c r="H342" s="3">
        <f t="shared" si="7"/>
        <v>4928204.6500000004</v>
      </c>
      <c r="I342" s="3">
        <f t="shared" si="7"/>
        <v>4935238.6500000004</v>
      </c>
      <c r="J342" s="3">
        <f t="shared" si="7"/>
        <v>0</v>
      </c>
    </row>
    <row r="343" spans="1:10" x14ac:dyDescent="0.2">
      <c r="A343" s="416"/>
      <c r="B343" s="416"/>
      <c r="C343" s="416"/>
      <c r="D343" s="416"/>
      <c r="E343" s="3" t="s">
        <v>418</v>
      </c>
      <c r="F343" s="3" t="s">
        <v>418</v>
      </c>
      <c r="G343" s="3" t="s">
        <v>418</v>
      </c>
      <c r="H343" s="3" t="s">
        <v>418</v>
      </c>
      <c r="I343" s="3" t="s">
        <v>418</v>
      </c>
      <c r="J343" s="3" t="s">
        <v>418</v>
      </c>
    </row>
    <row r="344" spans="1:10" x14ac:dyDescent="0.2">
      <c r="A344" s="416" t="s">
        <v>628</v>
      </c>
      <c r="B344" s="416"/>
      <c r="C344" s="416"/>
      <c r="D344" s="416"/>
      <c r="E344" s="3">
        <f t="shared" ref="E344:J344" si="8">SUM(E5:E118)</f>
        <v>2063709</v>
      </c>
      <c r="F344" s="3">
        <f t="shared" si="8"/>
        <v>2272594</v>
      </c>
      <c r="G344" s="3">
        <f t="shared" ref="G344:H344" si="9">SUM(G5:G118)</f>
        <v>2320082</v>
      </c>
      <c r="H344" s="3">
        <f t="shared" si="9"/>
        <v>2320082</v>
      </c>
      <c r="I344" s="3">
        <f t="shared" si="8"/>
        <v>2327116</v>
      </c>
      <c r="J344" s="3">
        <f t="shared" si="8"/>
        <v>0</v>
      </c>
    </row>
    <row r="345" spans="1:10" x14ac:dyDescent="0.2">
      <c r="A345" s="416" t="s">
        <v>1024</v>
      </c>
      <c r="B345" s="416"/>
      <c r="C345" s="416"/>
      <c r="D345" s="416"/>
      <c r="E345" s="3">
        <f>SUM(E119:E318)</f>
        <v>1802903</v>
      </c>
      <c r="F345" s="3">
        <f>SUM(F119:F314)</f>
        <v>1868135</v>
      </c>
      <c r="G345" s="3">
        <f t="shared" ref="G345:H345" si="10">SUM(G119:G314)</f>
        <v>1990622.65</v>
      </c>
      <c r="H345" s="3">
        <f t="shared" si="10"/>
        <v>1990622.65</v>
      </c>
      <c r="I345" s="3">
        <f>SUM(I119:I317)</f>
        <v>1991122.65</v>
      </c>
      <c r="J345" s="3">
        <f>SUM(J119:J317)</f>
        <v>0</v>
      </c>
    </row>
    <row r="346" spans="1:10" ht="15" x14ac:dyDescent="0.35">
      <c r="A346" s="416" t="s">
        <v>1025</v>
      </c>
      <c r="B346" s="416"/>
      <c r="C346" s="416"/>
      <c r="D346" s="416"/>
      <c r="E346" s="14">
        <f>SUM(E320:E340)</f>
        <v>566399</v>
      </c>
      <c r="F346" s="14">
        <f>SUM(F316:F340)</f>
        <v>557500</v>
      </c>
      <c r="G346" s="14">
        <f t="shared" ref="G346:H346" si="11">SUM(G316:G340)</f>
        <v>617500</v>
      </c>
      <c r="H346" s="14">
        <f t="shared" si="11"/>
        <v>617500</v>
      </c>
      <c r="I346" s="14">
        <f>SUM(I320:I340)</f>
        <v>617000</v>
      </c>
      <c r="J346" s="14">
        <f>SUM(J320:J340)</f>
        <v>0</v>
      </c>
    </row>
    <row r="347" spans="1:10" x14ac:dyDescent="0.2">
      <c r="A347" s="416" t="s">
        <v>1320</v>
      </c>
      <c r="B347" s="416"/>
      <c r="C347" s="416"/>
      <c r="D347" s="416"/>
      <c r="E347" s="3">
        <f t="shared" ref="E347:J347" si="12">SUM(E344:E346)</f>
        <v>4433011</v>
      </c>
      <c r="F347" s="3">
        <f t="shared" si="12"/>
        <v>4698229</v>
      </c>
      <c r="G347" s="3">
        <f t="shared" ref="G347:H347" si="13">SUM(G344:G346)</f>
        <v>4928204.6500000004</v>
      </c>
      <c r="H347" s="3">
        <f t="shared" si="13"/>
        <v>4928204.6500000004</v>
      </c>
      <c r="I347" s="3">
        <f t="shared" si="12"/>
        <v>4935238.6500000004</v>
      </c>
      <c r="J347" s="3">
        <f t="shared" si="12"/>
        <v>0</v>
      </c>
    </row>
    <row r="348" spans="1:10" x14ac:dyDescent="0.2">
      <c r="A348" s="416"/>
      <c r="B348" s="416"/>
      <c r="C348" s="416"/>
      <c r="D348" s="416"/>
      <c r="E348" s="416"/>
      <c r="F348" s="416"/>
      <c r="G348" s="416"/>
      <c r="H348" s="475"/>
      <c r="I348" s="3"/>
      <c r="J348" s="3"/>
    </row>
    <row r="349" spans="1:10" x14ac:dyDescent="0.2">
      <c r="A349" s="416"/>
      <c r="B349" s="416"/>
      <c r="C349" s="416"/>
      <c r="D349" s="416"/>
      <c r="E349" s="416"/>
      <c r="F349" s="416"/>
      <c r="G349" s="416"/>
      <c r="H349" s="475"/>
      <c r="I349" s="3">
        <f>I347-H347</f>
        <v>7034</v>
      </c>
      <c r="J349" s="3">
        <f>+I347-H347</f>
        <v>7034</v>
      </c>
    </row>
    <row r="350" spans="1:10" x14ac:dyDescent="0.2">
      <c r="A350" s="416"/>
      <c r="B350" s="416"/>
      <c r="C350" s="416"/>
      <c r="D350" s="416"/>
      <c r="E350" s="416"/>
      <c r="F350" s="416"/>
      <c r="G350" s="416"/>
      <c r="H350" s="475"/>
      <c r="I350" s="3"/>
      <c r="J350" s="3">
        <v>7034</v>
      </c>
    </row>
    <row r="351" spans="1:10" x14ac:dyDescent="0.2">
      <c r="A351" s="416"/>
      <c r="B351" s="416"/>
      <c r="C351" s="416"/>
      <c r="D351" s="416"/>
      <c r="E351" s="416"/>
      <c r="F351" s="416"/>
      <c r="G351" s="416"/>
      <c r="H351" s="475"/>
      <c r="I351" s="3"/>
      <c r="J351" s="3">
        <f>+J350-J349</f>
        <v>0</v>
      </c>
    </row>
    <row r="352" spans="1:10" x14ac:dyDescent="0.2">
      <c r="A352" s="416"/>
      <c r="B352" s="416"/>
      <c r="C352" s="416"/>
      <c r="D352" s="416"/>
      <c r="E352" s="416"/>
      <c r="F352" s="416"/>
      <c r="G352" s="416"/>
      <c r="H352" s="475"/>
      <c r="I352" s="3"/>
      <c r="J352" s="3"/>
    </row>
    <row r="353" spans="1:10" x14ac:dyDescent="0.2">
      <c r="A353" s="416"/>
      <c r="B353" s="416"/>
      <c r="C353" s="416"/>
      <c r="D353" s="416"/>
      <c r="E353" s="416"/>
      <c r="F353" s="416"/>
      <c r="G353" s="416"/>
      <c r="H353" s="475"/>
      <c r="I353" s="3"/>
      <c r="J353" s="3"/>
    </row>
    <row r="354" spans="1:10" x14ac:dyDescent="0.2">
      <c r="A354" s="416"/>
      <c r="B354" s="416"/>
      <c r="C354" s="416"/>
      <c r="D354" s="416"/>
      <c r="E354" s="416"/>
      <c r="F354" s="416"/>
      <c r="G354" s="416"/>
      <c r="H354" s="475"/>
      <c r="I354" s="3"/>
      <c r="J354" s="3"/>
    </row>
    <row r="355" spans="1:10" x14ac:dyDescent="0.2">
      <c r="A355" s="416"/>
      <c r="B355" s="416"/>
      <c r="C355" s="416"/>
      <c r="D355" s="416"/>
      <c r="E355" s="416"/>
      <c r="F355" s="416"/>
      <c r="G355" s="416"/>
      <c r="H355" s="475"/>
      <c r="I355" s="3"/>
      <c r="J355" s="3"/>
    </row>
    <row r="356" spans="1:10" x14ac:dyDescent="0.2">
      <c r="A356" s="416"/>
      <c r="B356" s="416"/>
      <c r="C356" s="416"/>
      <c r="D356" s="416"/>
      <c r="E356" s="416"/>
      <c r="F356" s="416"/>
      <c r="G356" s="416"/>
      <c r="H356" s="475"/>
      <c r="I356" s="3"/>
      <c r="J356" s="3"/>
    </row>
    <row r="357" spans="1:10" x14ac:dyDescent="0.2">
      <c r="A357" s="416"/>
      <c r="B357" s="416"/>
      <c r="C357" s="416"/>
      <c r="D357" s="416"/>
      <c r="E357" s="416"/>
      <c r="F357" s="416"/>
      <c r="G357" s="416"/>
      <c r="H357" s="475"/>
      <c r="I357" s="3"/>
      <c r="J357" s="3"/>
    </row>
    <row r="358" spans="1:10" x14ac:dyDescent="0.2">
      <c r="A358" s="416"/>
      <c r="B358" s="416"/>
      <c r="C358" s="416"/>
      <c r="D358" s="416"/>
      <c r="E358" s="416"/>
      <c r="F358" s="416"/>
      <c r="G358" s="416"/>
      <c r="H358" s="475"/>
      <c r="I358" s="3"/>
      <c r="J358" s="3"/>
    </row>
    <row r="359" spans="1:10" x14ac:dyDescent="0.2">
      <c r="A359" s="416"/>
      <c r="B359" s="416"/>
      <c r="C359" s="416"/>
      <c r="D359" s="416"/>
      <c r="E359" s="416"/>
      <c r="F359" s="416"/>
      <c r="G359" s="416"/>
      <c r="H359" s="475"/>
      <c r="I359" s="3"/>
      <c r="J359" s="416"/>
    </row>
    <row r="360" spans="1:10" x14ac:dyDescent="0.2">
      <c r="A360" s="416"/>
      <c r="B360" s="416"/>
      <c r="C360" s="416"/>
      <c r="D360" s="416"/>
      <c r="E360" s="416"/>
      <c r="F360" s="416"/>
      <c r="G360" s="416"/>
      <c r="H360" s="475"/>
      <c r="I360" s="3"/>
      <c r="J360" s="416"/>
    </row>
    <row r="361" spans="1:10" x14ac:dyDescent="0.2">
      <c r="A361" s="416"/>
      <c r="B361" s="416"/>
      <c r="C361" s="416"/>
      <c r="D361" s="416"/>
      <c r="E361" s="416"/>
      <c r="F361" s="416"/>
      <c r="G361" s="416"/>
      <c r="H361" s="475"/>
      <c r="I361" s="3"/>
      <c r="J361" s="416"/>
    </row>
    <row r="362" spans="1:10" x14ac:dyDescent="0.2">
      <c r="A362" s="416"/>
      <c r="B362" s="416"/>
      <c r="C362" s="416"/>
      <c r="D362" s="416"/>
      <c r="E362" s="416"/>
      <c r="F362" s="416"/>
      <c r="G362" s="416"/>
      <c r="H362" s="475"/>
      <c r="I362" s="3"/>
      <c r="J362" s="416"/>
    </row>
    <row r="363" spans="1:10" x14ac:dyDescent="0.2">
      <c r="A363" s="416"/>
      <c r="B363" s="416"/>
      <c r="C363" s="416"/>
      <c r="D363" s="416"/>
      <c r="E363" s="416"/>
      <c r="F363" s="416"/>
      <c r="G363" s="416"/>
      <c r="H363" s="475"/>
      <c r="I363" s="3"/>
      <c r="J363" s="416"/>
    </row>
    <row r="364" spans="1:10" x14ac:dyDescent="0.2">
      <c r="A364" s="416"/>
      <c r="B364" s="416"/>
      <c r="C364" s="416"/>
      <c r="D364" s="416"/>
      <c r="E364" s="416"/>
      <c r="F364" s="416"/>
      <c r="G364" s="416"/>
      <c r="H364" s="475"/>
      <c r="I364" s="3"/>
      <c r="J364" s="416"/>
    </row>
    <row r="365" spans="1:10" x14ac:dyDescent="0.2">
      <c r="A365" s="416"/>
      <c r="B365" s="416"/>
      <c r="C365" s="416"/>
      <c r="D365" s="416"/>
      <c r="E365" s="416"/>
      <c r="F365" s="416"/>
      <c r="G365" s="416"/>
      <c r="H365" s="475"/>
      <c r="I365" s="3"/>
      <c r="J365" s="416"/>
    </row>
    <row r="366" spans="1:10" x14ac:dyDescent="0.2">
      <c r="A366" s="416"/>
      <c r="B366" s="416"/>
      <c r="C366" s="416"/>
      <c r="D366" s="416"/>
      <c r="E366" s="416"/>
      <c r="F366" s="416"/>
      <c r="G366" s="416"/>
      <c r="I366" s="3"/>
      <c r="J366" s="416"/>
    </row>
    <row r="367" spans="1:10" x14ac:dyDescent="0.2">
      <c r="A367" s="416"/>
      <c r="B367" s="416"/>
      <c r="C367" s="416"/>
      <c r="D367" s="416"/>
      <c r="E367" s="416"/>
      <c r="F367" s="416"/>
      <c r="G367" s="416"/>
      <c r="I367" s="3"/>
      <c r="J367" s="416"/>
    </row>
    <row r="368" spans="1:10" x14ac:dyDescent="0.2">
      <c r="A368" s="416"/>
      <c r="B368" s="416"/>
      <c r="C368" s="416"/>
      <c r="D368" s="416"/>
      <c r="E368" s="416"/>
      <c r="F368" s="416"/>
      <c r="G368" s="416"/>
      <c r="I368" s="3"/>
      <c r="J368" s="416"/>
    </row>
    <row r="369" spans="1:10" x14ac:dyDescent="0.2">
      <c r="A369" s="416"/>
      <c r="B369" s="416"/>
      <c r="C369" s="416"/>
      <c r="D369" s="416"/>
      <c r="E369" s="416"/>
      <c r="F369" s="416"/>
      <c r="G369" s="416"/>
      <c r="I369" s="3"/>
      <c r="J369" s="416"/>
    </row>
    <row r="370" spans="1:10" x14ac:dyDescent="0.2">
      <c r="A370" s="416"/>
      <c r="B370" s="416"/>
      <c r="C370" s="416"/>
      <c r="D370" s="416"/>
      <c r="E370" s="416"/>
      <c r="F370" s="416"/>
      <c r="G370" s="416"/>
      <c r="I370" s="3"/>
      <c r="J370" s="416"/>
    </row>
    <row r="371" spans="1:10" x14ac:dyDescent="0.2">
      <c r="A371" s="416"/>
      <c r="B371" s="416"/>
      <c r="C371" s="416"/>
      <c r="D371" s="416"/>
      <c r="E371" s="416"/>
      <c r="F371" s="416"/>
      <c r="G371" s="416"/>
      <c r="I371" s="3"/>
      <c r="J371" s="416"/>
    </row>
    <row r="372" spans="1:10" x14ac:dyDescent="0.2">
      <c r="A372" s="416"/>
      <c r="B372" s="416"/>
      <c r="C372" s="416"/>
      <c r="D372" s="416"/>
      <c r="E372" s="416"/>
      <c r="F372" s="416"/>
      <c r="G372" s="416"/>
      <c r="I372" s="3"/>
      <c r="J372" s="416"/>
    </row>
    <row r="373" spans="1:10" x14ac:dyDescent="0.2">
      <c r="A373" s="416"/>
      <c r="B373" s="416"/>
      <c r="C373" s="416"/>
      <c r="D373" s="416"/>
      <c r="E373" s="416"/>
      <c r="F373" s="416"/>
      <c r="G373" s="416"/>
      <c r="I373" s="3"/>
      <c r="J373" s="416"/>
    </row>
    <row r="374" spans="1:10" x14ac:dyDescent="0.2">
      <c r="A374" s="416"/>
      <c r="B374" s="416"/>
      <c r="C374" s="416"/>
      <c r="D374" s="416"/>
      <c r="E374" s="416"/>
      <c r="F374" s="416"/>
      <c r="G374" s="416"/>
      <c r="I374" s="3"/>
      <c r="J374" s="416"/>
    </row>
    <row r="375" spans="1:10" x14ac:dyDescent="0.2">
      <c r="A375" s="416"/>
      <c r="B375" s="416"/>
      <c r="C375" s="416"/>
      <c r="D375" s="416"/>
      <c r="E375" s="416"/>
      <c r="F375" s="416"/>
      <c r="G375" s="416"/>
      <c r="I375" s="3"/>
      <c r="J375" s="416"/>
    </row>
    <row r="376" spans="1:10" x14ac:dyDescent="0.2">
      <c r="A376" s="416"/>
      <c r="B376" s="416"/>
      <c r="C376" s="416"/>
      <c r="D376" s="416"/>
      <c r="E376" s="416"/>
      <c r="F376" s="416"/>
      <c r="G376" s="416"/>
      <c r="I376" s="3"/>
      <c r="J376" s="416"/>
    </row>
    <row r="377" spans="1:10" x14ac:dyDescent="0.2">
      <c r="A377" s="416"/>
      <c r="B377" s="416"/>
      <c r="C377" s="416"/>
      <c r="D377" s="416"/>
      <c r="E377" s="416"/>
      <c r="F377" s="416"/>
      <c r="G377" s="416"/>
      <c r="I377" s="3"/>
      <c r="J377" s="416"/>
    </row>
    <row r="378" spans="1:10" x14ac:dyDescent="0.2">
      <c r="A378" s="416"/>
      <c r="B378" s="416"/>
      <c r="C378" s="416"/>
      <c r="D378" s="416"/>
      <c r="E378" s="416"/>
      <c r="F378" s="416"/>
      <c r="G378" s="416"/>
      <c r="I378" s="3"/>
      <c r="J378" s="416"/>
    </row>
    <row r="379" spans="1:10" x14ac:dyDescent="0.2">
      <c r="A379" s="416"/>
      <c r="B379" s="416"/>
      <c r="C379" s="416"/>
      <c r="D379" s="416"/>
      <c r="E379" s="416"/>
      <c r="F379" s="416"/>
      <c r="G379" s="416"/>
      <c r="I379" s="3"/>
      <c r="J379" s="416"/>
    </row>
    <row r="380" spans="1:10" x14ac:dyDescent="0.2">
      <c r="A380" s="416"/>
      <c r="B380" s="416"/>
      <c r="C380" s="416"/>
      <c r="D380" s="416"/>
      <c r="E380" s="416"/>
      <c r="F380" s="416"/>
      <c r="G380" s="416"/>
      <c r="I380" s="3"/>
      <c r="J380" s="416"/>
    </row>
    <row r="381" spans="1:10" x14ac:dyDescent="0.2">
      <c r="A381" s="416"/>
      <c r="B381" s="416"/>
      <c r="C381" s="416"/>
      <c r="D381" s="416"/>
      <c r="E381" s="416"/>
      <c r="F381" s="416"/>
      <c r="G381" s="416"/>
      <c r="I381" s="3"/>
      <c r="J381" s="416"/>
    </row>
    <row r="382" spans="1:10" x14ac:dyDescent="0.2">
      <c r="A382" s="416"/>
      <c r="B382" s="416"/>
      <c r="C382" s="416"/>
      <c r="D382" s="416"/>
      <c r="E382" s="416"/>
      <c r="F382" s="416"/>
      <c r="G382" s="416"/>
      <c r="I382" s="3"/>
      <c r="J382" s="416"/>
    </row>
    <row r="383" spans="1:10" x14ac:dyDescent="0.2">
      <c r="A383" s="416"/>
      <c r="B383" s="416"/>
      <c r="C383" s="416"/>
      <c r="D383" s="416"/>
      <c r="E383" s="416"/>
      <c r="F383" s="416"/>
      <c r="G383" s="416"/>
      <c r="I383" s="3"/>
      <c r="J383" s="416"/>
    </row>
    <row r="384" spans="1:10" x14ac:dyDescent="0.2">
      <c r="A384" s="416"/>
      <c r="B384" s="416"/>
      <c r="C384" s="416"/>
      <c r="D384" s="416"/>
      <c r="E384" s="416"/>
      <c r="F384" s="416"/>
      <c r="G384" s="416"/>
      <c r="I384" s="3"/>
      <c r="J384" s="416"/>
    </row>
    <row r="385" spans="1:10" x14ac:dyDescent="0.2">
      <c r="A385" s="416"/>
      <c r="B385" s="416"/>
      <c r="C385" s="416"/>
      <c r="D385" s="416"/>
      <c r="E385" s="416"/>
      <c r="F385" s="416"/>
      <c r="G385" s="416"/>
      <c r="I385" s="3"/>
      <c r="J385" s="416"/>
    </row>
    <row r="386" spans="1:10" x14ac:dyDescent="0.2">
      <c r="A386" s="416"/>
      <c r="B386" s="416"/>
      <c r="C386" s="416"/>
      <c r="D386" s="416"/>
      <c r="E386" s="416"/>
      <c r="F386" s="416"/>
      <c r="G386" s="416"/>
      <c r="I386" s="3"/>
      <c r="J386" s="416"/>
    </row>
    <row r="387" spans="1:10" x14ac:dyDescent="0.2">
      <c r="A387" s="416"/>
      <c r="B387" s="416"/>
      <c r="C387" s="416"/>
      <c r="D387" s="416"/>
      <c r="E387" s="416"/>
      <c r="F387" s="416"/>
      <c r="G387" s="416"/>
      <c r="I387" s="3"/>
      <c r="J387" s="416"/>
    </row>
    <row r="388" spans="1:10" x14ac:dyDescent="0.2">
      <c r="A388" s="416"/>
      <c r="B388" s="416"/>
      <c r="C388" s="416"/>
      <c r="D388" s="416"/>
      <c r="E388" s="416"/>
      <c r="F388" s="416"/>
      <c r="G388" s="416"/>
      <c r="I388" s="3"/>
      <c r="J388" s="416"/>
    </row>
    <row r="389" spans="1:10" x14ac:dyDescent="0.2">
      <c r="A389" s="416"/>
      <c r="B389" s="416"/>
      <c r="C389" s="416"/>
      <c r="D389" s="416"/>
      <c r="E389" s="416"/>
      <c r="F389" s="416"/>
      <c r="G389" s="416"/>
      <c r="I389" s="3"/>
      <c r="J389" s="416"/>
    </row>
    <row r="390" spans="1:10" x14ac:dyDescent="0.2">
      <c r="A390" s="416"/>
      <c r="B390" s="416"/>
      <c r="C390" s="416"/>
      <c r="D390" s="416"/>
      <c r="E390" s="416"/>
      <c r="F390" s="416"/>
      <c r="G390" s="416"/>
      <c r="I390" s="3"/>
      <c r="J390" s="416"/>
    </row>
    <row r="391" spans="1:10" x14ac:dyDescent="0.2">
      <c r="A391" s="416"/>
      <c r="B391" s="416"/>
      <c r="C391" s="416"/>
      <c r="D391" s="416"/>
      <c r="E391" s="416"/>
      <c r="F391" s="416"/>
      <c r="G391" s="416"/>
      <c r="I391" s="3"/>
      <c r="J391" s="416"/>
    </row>
    <row r="392" spans="1:10" x14ac:dyDescent="0.2">
      <c r="A392" s="416"/>
      <c r="B392" s="416"/>
      <c r="C392" s="416"/>
      <c r="D392" s="416"/>
      <c r="E392" s="416"/>
      <c r="F392" s="416"/>
      <c r="G392" s="416"/>
      <c r="I392" s="3"/>
      <c r="J392" s="416"/>
    </row>
    <row r="393" spans="1:10" x14ac:dyDescent="0.2">
      <c r="A393" s="416"/>
      <c r="B393" s="416"/>
      <c r="C393" s="416"/>
      <c r="D393" s="416"/>
      <c r="E393" s="416"/>
      <c r="F393" s="416"/>
      <c r="G393" s="416"/>
      <c r="I393" s="3"/>
      <c r="J393" s="416"/>
    </row>
    <row r="394" spans="1:10" x14ac:dyDescent="0.2">
      <c r="A394" s="416"/>
      <c r="B394" s="416"/>
      <c r="C394" s="416"/>
      <c r="D394" s="416"/>
      <c r="E394" s="416"/>
      <c r="F394" s="416"/>
      <c r="G394" s="416"/>
      <c r="I394" s="3"/>
      <c r="J394" s="416"/>
    </row>
    <row r="395" spans="1:10" x14ac:dyDescent="0.2">
      <c r="A395" s="416"/>
      <c r="B395" s="416"/>
      <c r="C395" s="416"/>
      <c r="D395" s="416"/>
      <c r="E395" s="416"/>
      <c r="F395" s="416"/>
      <c r="G395" s="416"/>
      <c r="I395" s="3"/>
      <c r="J395" s="416"/>
    </row>
    <row r="396" spans="1:10" x14ac:dyDescent="0.2">
      <c r="A396" s="416"/>
      <c r="B396" s="416"/>
      <c r="C396" s="416"/>
      <c r="D396" s="416"/>
      <c r="E396" s="416"/>
      <c r="F396" s="416"/>
      <c r="G396" s="416"/>
      <c r="I396" s="3"/>
      <c r="J396" s="416"/>
    </row>
    <row r="397" spans="1:10" x14ac:dyDescent="0.2">
      <c r="A397" s="416"/>
      <c r="B397" s="416"/>
      <c r="C397" s="416"/>
      <c r="D397" s="416"/>
      <c r="E397" s="416"/>
      <c r="F397" s="416"/>
      <c r="G397" s="416"/>
      <c r="I397" s="3"/>
      <c r="J397" s="416"/>
    </row>
    <row r="398" spans="1:10" x14ac:dyDescent="0.2">
      <c r="A398" s="416"/>
      <c r="B398" s="416"/>
      <c r="C398" s="416"/>
      <c r="D398" s="416"/>
      <c r="E398" s="416"/>
      <c r="F398" s="416"/>
      <c r="G398" s="416"/>
      <c r="I398" s="3"/>
      <c r="J398" s="416"/>
    </row>
    <row r="399" spans="1:10" x14ac:dyDescent="0.2">
      <c r="A399" s="416"/>
      <c r="B399" s="416"/>
      <c r="C399" s="416"/>
      <c r="D399" s="416"/>
      <c r="E399" s="416"/>
      <c r="F399" s="416"/>
      <c r="G399" s="416"/>
      <c r="I399" s="3"/>
      <c r="J399" s="416"/>
    </row>
    <row r="400" spans="1:10" x14ac:dyDescent="0.2">
      <c r="A400" s="416"/>
      <c r="B400" s="416"/>
      <c r="C400" s="416"/>
      <c r="D400" s="416"/>
      <c r="E400" s="416"/>
      <c r="F400" s="416"/>
      <c r="G400" s="416"/>
      <c r="I400" s="3"/>
      <c r="J400" s="416"/>
    </row>
    <row r="401" spans="1:10" x14ac:dyDescent="0.2">
      <c r="A401" s="416"/>
      <c r="B401" s="416"/>
      <c r="C401" s="416"/>
      <c r="D401" s="416"/>
      <c r="E401" s="416"/>
      <c r="F401" s="416"/>
      <c r="G401" s="416"/>
      <c r="I401" s="3"/>
      <c r="J401" s="416"/>
    </row>
    <row r="402" spans="1:10" x14ac:dyDescent="0.2">
      <c r="A402" s="416"/>
      <c r="B402" s="416"/>
      <c r="C402" s="416"/>
      <c r="D402" s="416"/>
      <c r="E402" s="416"/>
      <c r="F402" s="416"/>
      <c r="G402" s="416"/>
      <c r="I402" s="3"/>
      <c r="J402" s="416"/>
    </row>
    <row r="403" spans="1:10" x14ac:dyDescent="0.2">
      <c r="I403" s="3"/>
    </row>
    <row r="404" spans="1:10" x14ac:dyDescent="0.2">
      <c r="I404" s="3"/>
    </row>
    <row r="405" spans="1:10" x14ac:dyDescent="0.2">
      <c r="I405" s="3"/>
    </row>
    <row r="406" spans="1:10" x14ac:dyDescent="0.2">
      <c r="I406" s="3"/>
    </row>
    <row r="407" spans="1:10" x14ac:dyDescent="0.2">
      <c r="I407" s="3"/>
    </row>
    <row r="408" spans="1:10" x14ac:dyDescent="0.2">
      <c r="I408" s="3"/>
    </row>
    <row r="409" spans="1:10" x14ac:dyDescent="0.2">
      <c r="I409" s="3"/>
    </row>
    <row r="410" spans="1:10" x14ac:dyDescent="0.2">
      <c r="I410" s="3"/>
    </row>
    <row r="411" spans="1:10" x14ac:dyDescent="0.2">
      <c r="I411" s="3"/>
    </row>
    <row r="412" spans="1:10" x14ac:dyDescent="0.2">
      <c r="I412" s="3"/>
    </row>
    <row r="413" spans="1:10" x14ac:dyDescent="0.2">
      <c r="I413" s="3"/>
    </row>
    <row r="414" spans="1:10" x14ac:dyDescent="0.2">
      <c r="I414" s="3"/>
    </row>
    <row r="415" spans="1:10" x14ac:dyDescent="0.2">
      <c r="I415" s="3"/>
    </row>
    <row r="416" spans="1:10"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sheetData>
  <mergeCells count="4">
    <mergeCell ref="A1:J1"/>
    <mergeCell ref="B198:C198"/>
    <mergeCell ref="B237:C237"/>
    <mergeCell ref="B241:C242"/>
  </mergeCells>
  <phoneticPr fontId="0" type="noConversion"/>
  <printOptions gridLines="1"/>
  <pageMargins left="0.75" right="0" top="0.51" bottom="0.22" header="0.5" footer="0"/>
  <pageSetup scale="85" fitToHeight="17" orientation="landscape" r:id="rId1"/>
  <headerFooter alignWithMargins="0"/>
  <rowBreaks count="6" manualBreakCount="6">
    <brk id="50" max="9" man="1"/>
    <brk id="128" max="9" man="1"/>
    <brk id="172" max="9" man="1"/>
    <brk id="213" max="9" man="1"/>
    <brk id="252" max="9" man="1"/>
    <brk id="332" max="9"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L245"/>
  <sheetViews>
    <sheetView view="pageBreakPreview" zoomScaleNormal="100" zoomScaleSheetLayoutView="100" workbookViewId="0">
      <pane ySplit="5" topLeftCell="A92" activePane="bottomLeft" state="frozen"/>
      <selection activeCell="D43" sqref="D43"/>
      <selection pane="bottomLeft" activeCell="J6" sqref="J6:J99"/>
    </sheetView>
  </sheetViews>
  <sheetFormatPr defaultColWidth="8.85546875" defaultRowHeight="12.75" x14ac:dyDescent="0.2"/>
  <cols>
    <col min="1" max="1" width="41.5703125" style="348" bestFit="1" customWidth="1"/>
    <col min="2" max="2" width="9.85546875" style="348" customWidth="1"/>
    <col min="3" max="3" width="10.28515625" style="348" customWidth="1"/>
    <col min="4" max="4" width="10.5703125" style="348" customWidth="1"/>
    <col min="5" max="6" width="10.85546875" style="348" customWidth="1"/>
    <col min="7" max="7" width="10.85546875" style="3" customWidth="1"/>
    <col min="8" max="8" width="14" style="348" bestFit="1" customWidth="1"/>
    <col min="9" max="10" width="10.85546875" style="348" customWidth="1"/>
    <col min="11" max="16384" width="8.85546875" style="348"/>
  </cols>
  <sheetData>
    <row r="1" spans="1:12" x14ac:dyDescent="0.2">
      <c r="A1" s="562" t="str">
        <f>'SUMMARY BY FUND'!A1:J1</f>
        <v>2023-24 BUDGET</v>
      </c>
      <c r="B1" s="563"/>
      <c r="C1" s="563"/>
      <c r="D1" s="563"/>
      <c r="E1" s="563"/>
      <c r="F1" s="563"/>
      <c r="G1" s="563"/>
      <c r="H1" s="563"/>
      <c r="I1" s="563"/>
      <c r="J1" s="563"/>
    </row>
    <row r="2" spans="1:12" ht="18.75" x14ac:dyDescent="0.3">
      <c r="A2" s="202" t="s">
        <v>1889</v>
      </c>
      <c r="B2" s="202"/>
      <c r="C2" s="202"/>
      <c r="D2" s="202"/>
      <c r="E2" s="202"/>
      <c r="F2" s="202"/>
      <c r="G2" s="202"/>
      <c r="H2" s="202"/>
      <c r="I2" s="202"/>
      <c r="J2" s="202"/>
    </row>
    <row r="3" spans="1:12" x14ac:dyDescent="0.2">
      <c r="B3" s="3"/>
      <c r="C3" s="3"/>
      <c r="D3" s="3"/>
      <c r="E3" s="3"/>
      <c r="F3" s="3"/>
    </row>
    <row r="4" spans="1:12" x14ac:dyDescent="0.2">
      <c r="B4" s="3"/>
      <c r="C4" s="3"/>
      <c r="D4" s="3"/>
      <c r="E4" s="19" t="s">
        <v>250</v>
      </c>
      <c r="F4" s="19" t="s">
        <v>251</v>
      </c>
      <c r="G4" s="19" t="s">
        <v>68</v>
      </c>
      <c r="H4" s="19" t="s">
        <v>432</v>
      </c>
      <c r="I4" s="19" t="s">
        <v>338</v>
      </c>
      <c r="J4" s="19" t="s">
        <v>370</v>
      </c>
    </row>
    <row r="5" spans="1:12" ht="15" x14ac:dyDescent="0.35">
      <c r="B5" s="3"/>
      <c r="C5" s="3"/>
      <c r="D5" s="3"/>
      <c r="E5" s="419" t="s">
        <v>2163</v>
      </c>
      <c r="F5" s="419" t="s">
        <v>2290</v>
      </c>
      <c r="G5" s="419" t="s">
        <v>2507</v>
      </c>
      <c r="H5" s="419" t="s">
        <v>2507</v>
      </c>
      <c r="I5" s="419" t="s">
        <v>2507</v>
      </c>
      <c r="J5" s="419" t="s">
        <v>2507</v>
      </c>
    </row>
    <row r="6" spans="1:12" ht="13.5" x14ac:dyDescent="0.25">
      <c r="A6" s="350" t="s">
        <v>829</v>
      </c>
      <c r="B6" s="3"/>
      <c r="C6" s="3"/>
      <c r="D6" s="3"/>
      <c r="E6" s="3">
        <v>73758</v>
      </c>
      <c r="F6" s="3">
        <v>73979</v>
      </c>
      <c r="G6" s="3">
        <v>74052</v>
      </c>
      <c r="H6" s="3">
        <v>74052</v>
      </c>
      <c r="I6" s="3">
        <v>76584</v>
      </c>
      <c r="J6" s="3"/>
    </row>
    <row r="7" spans="1:12" x14ac:dyDescent="0.2">
      <c r="A7" s="348" t="s">
        <v>827</v>
      </c>
      <c r="B7" s="3">
        <v>52</v>
      </c>
      <c r="C7" s="3">
        <v>1449.1</v>
      </c>
      <c r="D7" s="3">
        <f>ROUND(B7*C7,0)</f>
        <v>75353</v>
      </c>
      <c r="E7" s="3"/>
      <c r="F7" s="3"/>
      <c r="H7" s="3"/>
      <c r="I7" s="3"/>
      <c r="J7" s="3"/>
    </row>
    <row r="8" spans="1:12" x14ac:dyDescent="0.2">
      <c r="A8" s="348" t="s">
        <v>1039</v>
      </c>
      <c r="B8" s="3"/>
      <c r="C8" s="3"/>
      <c r="D8" s="21">
        <v>1231</v>
      </c>
      <c r="E8" s="3"/>
      <c r="F8" s="3"/>
      <c r="H8" s="3"/>
      <c r="I8" s="3"/>
      <c r="J8" s="3"/>
    </row>
    <row r="9" spans="1:12" x14ac:dyDescent="0.2">
      <c r="A9" s="348" t="s">
        <v>1320</v>
      </c>
      <c r="B9" s="3"/>
      <c r="C9" s="3"/>
      <c r="D9" s="3">
        <f>SUM(D7:D8)</f>
        <v>76584</v>
      </c>
      <c r="E9" s="3"/>
      <c r="F9" s="3"/>
      <c r="H9" s="3"/>
      <c r="I9" s="3"/>
      <c r="J9" s="3"/>
    </row>
    <row r="10" spans="1:12" x14ac:dyDescent="0.2">
      <c r="B10" s="3"/>
      <c r="C10" s="3"/>
      <c r="D10" s="3"/>
      <c r="E10" s="3"/>
      <c r="F10" s="3"/>
      <c r="H10" s="3"/>
      <c r="I10" s="3"/>
      <c r="J10" s="3"/>
    </row>
    <row r="11" spans="1:12" ht="13.5" x14ac:dyDescent="0.25">
      <c r="A11" s="350" t="s">
        <v>886</v>
      </c>
      <c r="C11" s="491"/>
      <c r="E11" s="3">
        <v>50934</v>
      </c>
      <c r="F11" s="3">
        <v>90168</v>
      </c>
      <c r="G11" s="3">
        <v>90168</v>
      </c>
      <c r="H11" s="3">
        <v>90168</v>
      </c>
      <c r="I11" s="3">
        <v>93340</v>
      </c>
      <c r="J11" s="3"/>
      <c r="K11" s="3">
        <v>87932</v>
      </c>
      <c r="L11" s="3">
        <f>+G11-K11</f>
        <v>2236</v>
      </c>
    </row>
    <row r="12" spans="1:12" x14ac:dyDescent="0.2">
      <c r="A12" s="348" t="s">
        <v>828</v>
      </c>
      <c r="B12" s="3">
        <v>52</v>
      </c>
      <c r="C12" s="3">
        <v>1020</v>
      </c>
      <c r="D12" s="3">
        <f>ROUND(B12*C12,0)</f>
        <v>53040</v>
      </c>
      <c r="F12" s="3"/>
      <c r="H12" s="3"/>
      <c r="I12" s="3"/>
      <c r="J12" s="3"/>
      <c r="K12" s="3"/>
      <c r="L12" s="3">
        <f t="shared" ref="L12:L52" si="0">+G12-K12</f>
        <v>0</v>
      </c>
    </row>
    <row r="13" spans="1:12" s="373" customFormat="1" ht="15" x14ac:dyDescent="0.35">
      <c r="A13" s="373" t="s">
        <v>2444</v>
      </c>
      <c r="B13" s="3">
        <v>52</v>
      </c>
      <c r="C13" s="3">
        <v>775</v>
      </c>
      <c r="D13" s="14">
        <f>ROUND(B13*C13,0)</f>
        <v>40300</v>
      </c>
      <c r="F13" s="3"/>
      <c r="G13" s="3"/>
      <c r="H13" s="3"/>
      <c r="I13" s="3"/>
      <c r="J13" s="3"/>
      <c r="K13" s="3"/>
      <c r="L13" s="3">
        <f t="shared" si="0"/>
        <v>0</v>
      </c>
    </row>
    <row r="14" spans="1:12" x14ac:dyDescent="0.2">
      <c r="A14" s="348" t="s">
        <v>1320</v>
      </c>
      <c r="B14" s="3"/>
      <c r="C14" s="3"/>
      <c r="D14" s="3">
        <f>SUM(D12:D13)</f>
        <v>93340</v>
      </c>
      <c r="F14" s="3"/>
      <c r="H14" s="3"/>
      <c r="I14" s="3"/>
      <c r="J14" s="3"/>
      <c r="K14" s="3"/>
      <c r="L14" s="3">
        <f t="shared" si="0"/>
        <v>0</v>
      </c>
    </row>
    <row r="15" spans="1:12" x14ac:dyDescent="0.2">
      <c r="D15" s="3"/>
      <c r="E15" s="3"/>
      <c r="F15" s="3"/>
      <c r="H15" s="3"/>
      <c r="I15" s="3"/>
      <c r="J15" s="3"/>
      <c r="K15" s="3"/>
      <c r="L15" s="3">
        <f t="shared" si="0"/>
        <v>0</v>
      </c>
    </row>
    <row r="16" spans="1:12" ht="13.5" x14ac:dyDescent="0.25">
      <c r="A16" s="350" t="s">
        <v>830</v>
      </c>
      <c r="D16" s="3"/>
      <c r="E16" s="3">
        <v>26632</v>
      </c>
      <c r="F16" s="3">
        <v>3150</v>
      </c>
      <c r="G16" s="3">
        <v>3150</v>
      </c>
      <c r="H16" s="3">
        <v>3150</v>
      </c>
      <c r="I16" s="3">
        <v>3261</v>
      </c>
      <c r="J16" s="3"/>
      <c r="K16" s="3">
        <v>3150</v>
      </c>
      <c r="L16" s="3">
        <f t="shared" si="0"/>
        <v>0</v>
      </c>
    </row>
    <row r="17" spans="1:12" x14ac:dyDescent="0.2">
      <c r="A17" s="348" t="s">
        <v>199</v>
      </c>
      <c r="B17" s="3">
        <v>0</v>
      </c>
      <c r="C17" s="15">
        <v>18.260000000000002</v>
      </c>
      <c r="D17" s="3">
        <f>ROUND(B17*C17,0)</f>
        <v>0</v>
      </c>
      <c r="E17" s="3"/>
      <c r="F17" s="3"/>
      <c r="H17" s="3"/>
      <c r="I17" s="3"/>
      <c r="J17" s="3"/>
      <c r="K17" s="3"/>
      <c r="L17" s="3">
        <f t="shared" si="0"/>
        <v>0</v>
      </c>
    </row>
    <row r="18" spans="1:12" ht="15" x14ac:dyDescent="0.35">
      <c r="A18" s="348" t="s">
        <v>2658</v>
      </c>
      <c r="B18" s="3">
        <v>170</v>
      </c>
      <c r="C18" s="15">
        <v>19.18</v>
      </c>
      <c r="D18" s="14">
        <f>B18*C18</f>
        <v>3260.6</v>
      </c>
      <c r="E18" s="3"/>
      <c r="F18" s="3"/>
      <c r="H18" s="3"/>
      <c r="I18" s="3"/>
      <c r="J18" s="3"/>
      <c r="K18" s="3"/>
      <c r="L18" s="3">
        <f t="shared" si="0"/>
        <v>0</v>
      </c>
    </row>
    <row r="19" spans="1:12" x14ac:dyDescent="0.2">
      <c r="A19" s="348" t="s">
        <v>1320</v>
      </c>
      <c r="B19" s="3"/>
      <c r="C19" s="15"/>
      <c r="D19" s="3">
        <f>SUM(D17:D18)</f>
        <v>3260.6</v>
      </c>
      <c r="E19" s="3"/>
      <c r="F19" s="3"/>
      <c r="H19" s="3"/>
      <c r="I19" s="3"/>
      <c r="J19" s="3"/>
      <c r="K19" s="3"/>
      <c r="L19" s="3">
        <f t="shared" si="0"/>
        <v>0</v>
      </c>
    </row>
    <row r="20" spans="1:12" x14ac:dyDescent="0.2">
      <c r="B20" s="3"/>
      <c r="C20" s="15"/>
      <c r="D20" s="3"/>
      <c r="E20" s="3"/>
      <c r="F20" s="3"/>
      <c r="H20" s="3"/>
      <c r="I20" s="3"/>
      <c r="J20" s="3"/>
      <c r="K20" s="3"/>
      <c r="L20" s="3">
        <f t="shared" si="0"/>
        <v>0</v>
      </c>
    </row>
    <row r="21" spans="1:12" ht="13.5" x14ac:dyDescent="0.25">
      <c r="A21" s="350" t="s">
        <v>2088</v>
      </c>
      <c r="B21" s="3"/>
      <c r="C21" s="15"/>
      <c r="D21" s="3">
        <v>0</v>
      </c>
      <c r="E21" s="3">
        <v>910</v>
      </c>
      <c r="F21" s="3">
        <v>0</v>
      </c>
      <c r="G21" s="3">
        <v>0</v>
      </c>
      <c r="H21" s="3">
        <v>0</v>
      </c>
      <c r="I21" s="3">
        <v>0</v>
      </c>
      <c r="J21" s="3"/>
      <c r="K21" s="3">
        <v>0</v>
      </c>
      <c r="L21" s="3">
        <f t="shared" si="0"/>
        <v>0</v>
      </c>
    </row>
    <row r="22" spans="1:12" x14ac:dyDescent="0.2">
      <c r="B22" s="3"/>
      <c r="C22" s="15"/>
      <c r="D22" s="3"/>
      <c r="E22" s="3"/>
      <c r="F22" s="3"/>
      <c r="H22" s="3"/>
      <c r="I22" s="3"/>
      <c r="J22" s="3"/>
      <c r="K22" s="3"/>
      <c r="L22" s="3">
        <f t="shared" si="0"/>
        <v>0</v>
      </c>
    </row>
    <row r="23" spans="1:12" ht="13.5" x14ac:dyDescent="0.25">
      <c r="A23" s="350" t="s">
        <v>831</v>
      </c>
      <c r="D23" s="3"/>
      <c r="E23" s="3">
        <v>11527</v>
      </c>
      <c r="F23" s="3">
        <v>12798</v>
      </c>
      <c r="G23" s="3">
        <v>12804</v>
      </c>
      <c r="H23" s="3">
        <v>12804</v>
      </c>
      <c r="I23" s="3">
        <v>13249</v>
      </c>
      <c r="J23" s="3"/>
      <c r="K23" s="3">
        <v>12496</v>
      </c>
      <c r="L23" s="3">
        <f t="shared" si="0"/>
        <v>308</v>
      </c>
    </row>
    <row r="24" spans="1:12" x14ac:dyDescent="0.2">
      <c r="A24" s="16" t="s">
        <v>1536</v>
      </c>
      <c r="B24" s="3">
        <f>+D9</f>
        <v>76584</v>
      </c>
      <c r="C24" s="17">
        <v>7.6499999999999999E-2</v>
      </c>
      <c r="D24" s="3">
        <f>ROUND(B24*C24,0)</f>
        <v>5859</v>
      </c>
      <c r="E24" s="3"/>
      <c r="F24" s="3"/>
      <c r="H24" s="3"/>
      <c r="I24" s="3"/>
      <c r="J24" s="3"/>
      <c r="K24" s="3"/>
      <c r="L24" s="3">
        <f t="shared" si="0"/>
        <v>0</v>
      </c>
    </row>
    <row r="25" spans="1:12" x14ac:dyDescent="0.2">
      <c r="A25" s="16" t="s">
        <v>883</v>
      </c>
      <c r="B25" s="3">
        <f>+D14</f>
        <v>93340</v>
      </c>
      <c r="C25" s="17">
        <v>7.6499999999999999E-2</v>
      </c>
      <c r="D25" s="3">
        <f>ROUND(B25*C25,0)</f>
        <v>7141</v>
      </c>
      <c r="E25" s="3"/>
      <c r="F25" s="3"/>
      <c r="H25" s="3"/>
      <c r="I25" s="3"/>
      <c r="J25" s="3"/>
      <c r="K25" s="3"/>
      <c r="L25" s="3">
        <f t="shared" si="0"/>
        <v>0</v>
      </c>
    </row>
    <row r="26" spans="1:12" ht="15" x14ac:dyDescent="0.35">
      <c r="A26" s="16" t="s">
        <v>196</v>
      </c>
      <c r="B26" s="3">
        <f>+D19</f>
        <v>3260.6</v>
      </c>
      <c r="C26" s="17">
        <v>7.6499999999999999E-2</v>
      </c>
      <c r="D26" s="14">
        <f>ROUND(B26*C26,0)</f>
        <v>249</v>
      </c>
      <c r="E26" s="3"/>
      <c r="F26" s="3"/>
      <c r="H26" s="3"/>
      <c r="I26" s="3"/>
      <c r="J26" s="3"/>
      <c r="K26" s="3"/>
      <c r="L26" s="3">
        <f t="shared" si="0"/>
        <v>0</v>
      </c>
    </row>
    <row r="27" spans="1:12" x14ac:dyDescent="0.2">
      <c r="A27" s="348" t="s">
        <v>440</v>
      </c>
      <c r="B27" s="3" t="s">
        <v>418</v>
      </c>
      <c r="D27" s="3">
        <f>SUM(D24:D26)</f>
        <v>13249</v>
      </c>
      <c r="E27" s="3"/>
      <c r="F27" s="3"/>
      <c r="H27" s="3"/>
      <c r="I27" s="3"/>
      <c r="J27" s="3"/>
      <c r="K27" s="3"/>
      <c r="L27" s="3">
        <f t="shared" si="0"/>
        <v>0</v>
      </c>
    </row>
    <row r="28" spans="1:12" x14ac:dyDescent="0.2">
      <c r="D28" s="3"/>
      <c r="E28" s="3"/>
      <c r="F28" s="3"/>
      <c r="H28" s="3"/>
      <c r="I28" s="3"/>
      <c r="J28" s="3"/>
      <c r="K28" s="3"/>
      <c r="L28" s="3">
        <f t="shared" si="0"/>
        <v>0</v>
      </c>
    </row>
    <row r="29" spans="1:12" ht="13.5" x14ac:dyDescent="0.25">
      <c r="A29" s="18" t="s">
        <v>1567</v>
      </c>
      <c r="D29" s="3"/>
      <c r="E29" s="3">
        <v>17469</v>
      </c>
      <c r="F29" s="3">
        <v>23079</v>
      </c>
      <c r="G29" s="3">
        <v>22219</v>
      </c>
      <c r="H29" s="3">
        <v>22219</v>
      </c>
      <c r="I29" s="3">
        <v>22991</v>
      </c>
      <c r="J29" s="3"/>
      <c r="K29" s="3">
        <v>22523</v>
      </c>
      <c r="L29" s="3">
        <f t="shared" si="0"/>
        <v>-304</v>
      </c>
    </row>
    <row r="30" spans="1:12" x14ac:dyDescent="0.2">
      <c r="A30" s="491" t="s">
        <v>440</v>
      </c>
      <c r="B30" s="3">
        <f>+D9+D14</f>
        <v>169924</v>
      </c>
      <c r="C30" s="507">
        <v>0.1353</v>
      </c>
      <c r="D30" s="3">
        <f>ROUND(B30*C30,0)</f>
        <v>22991</v>
      </c>
      <c r="E30" s="3"/>
      <c r="F30" s="3"/>
      <c r="H30" s="3"/>
      <c r="I30" s="3"/>
      <c r="J30" s="3"/>
      <c r="K30" s="3"/>
      <c r="L30" s="3">
        <f t="shared" si="0"/>
        <v>0</v>
      </c>
    </row>
    <row r="31" spans="1:12" x14ac:dyDescent="0.2">
      <c r="A31" s="491"/>
      <c r="B31" s="491"/>
      <c r="C31" s="491"/>
      <c r="D31" s="3"/>
      <c r="E31" s="3"/>
      <c r="F31" s="3"/>
      <c r="H31" s="3"/>
      <c r="I31" s="3"/>
      <c r="J31" s="3"/>
      <c r="K31" s="3"/>
      <c r="L31" s="3">
        <f t="shared" si="0"/>
        <v>0</v>
      </c>
    </row>
    <row r="32" spans="1:12" ht="13.5" x14ac:dyDescent="0.25">
      <c r="A32" s="494" t="s">
        <v>1568</v>
      </c>
      <c r="B32" s="491"/>
      <c r="C32" s="491"/>
      <c r="D32" s="3"/>
      <c r="E32" s="3">
        <v>37818</v>
      </c>
      <c r="F32" s="3">
        <v>57000</v>
      </c>
      <c r="G32" s="3">
        <v>60750</v>
      </c>
      <c r="H32" s="3">
        <v>60750</v>
      </c>
      <c r="I32" s="3">
        <v>60750</v>
      </c>
      <c r="J32" s="3"/>
      <c r="K32" s="3">
        <v>58500</v>
      </c>
      <c r="L32" s="3">
        <f t="shared" si="0"/>
        <v>2250</v>
      </c>
    </row>
    <row r="33" spans="1:12" hidden="1" x14ac:dyDescent="0.2">
      <c r="A33" s="491" t="s">
        <v>440</v>
      </c>
      <c r="B33" s="3">
        <v>3</v>
      </c>
      <c r="C33" s="3">
        <v>20250</v>
      </c>
      <c r="D33" s="3">
        <f>ROUND(B33*C33,0)</f>
        <v>60750</v>
      </c>
      <c r="E33" s="3"/>
      <c r="F33" s="3"/>
      <c r="H33" s="3"/>
      <c r="I33" s="3"/>
      <c r="J33" s="3"/>
      <c r="K33" s="3"/>
      <c r="L33" s="3">
        <f t="shared" si="0"/>
        <v>0</v>
      </c>
    </row>
    <row r="34" spans="1:12" x14ac:dyDescent="0.2">
      <c r="A34" s="491"/>
      <c r="B34" s="491"/>
      <c r="C34" s="491"/>
      <c r="D34" s="3"/>
      <c r="E34" s="3"/>
      <c r="F34" s="3"/>
      <c r="H34" s="3"/>
      <c r="I34" s="3"/>
      <c r="J34" s="3"/>
      <c r="K34" s="3"/>
      <c r="L34" s="3">
        <f t="shared" si="0"/>
        <v>0</v>
      </c>
    </row>
    <row r="35" spans="1:12" ht="13.5" x14ac:dyDescent="0.25">
      <c r="A35" s="494" t="s">
        <v>1569</v>
      </c>
      <c r="B35" s="491"/>
      <c r="C35" s="491"/>
      <c r="D35" s="3"/>
      <c r="E35" s="3">
        <v>2490</v>
      </c>
      <c r="F35" s="3">
        <v>3713</v>
      </c>
      <c r="G35" s="3">
        <v>3713</v>
      </c>
      <c r="H35" s="3">
        <v>3713</v>
      </c>
      <c r="I35" s="3">
        <v>3713</v>
      </c>
      <c r="J35" s="3"/>
      <c r="K35" s="3">
        <v>3713</v>
      </c>
      <c r="L35" s="3">
        <f t="shared" si="0"/>
        <v>0</v>
      </c>
    </row>
    <row r="36" spans="1:12" hidden="1" x14ac:dyDescent="0.2">
      <c r="A36" s="491" t="s">
        <v>440</v>
      </c>
      <c r="B36" s="3">
        <v>3</v>
      </c>
      <c r="C36" s="3">
        <v>1375</v>
      </c>
      <c r="D36" s="3">
        <f>ROUND(B36*C36,0)</f>
        <v>4125</v>
      </c>
      <c r="E36" s="3"/>
      <c r="F36" s="3"/>
      <c r="H36" s="3"/>
      <c r="I36" s="3"/>
      <c r="J36" s="3"/>
      <c r="K36" s="3"/>
      <c r="L36" s="3">
        <f t="shared" si="0"/>
        <v>0</v>
      </c>
    </row>
    <row r="37" spans="1:12" ht="15" hidden="1" x14ac:dyDescent="0.35">
      <c r="A37" s="491" t="s">
        <v>243</v>
      </c>
      <c r="B37" s="3"/>
      <c r="C37" s="3"/>
      <c r="D37" s="14">
        <f>+C36*0.1*-B36</f>
        <v>-412.5</v>
      </c>
      <c r="E37" s="3"/>
      <c r="F37" s="3"/>
      <c r="H37" s="3"/>
      <c r="I37" s="3"/>
      <c r="J37" s="3"/>
      <c r="K37" s="3"/>
      <c r="L37" s="3">
        <f t="shared" si="0"/>
        <v>0</v>
      </c>
    </row>
    <row r="38" spans="1:12" hidden="1" x14ac:dyDescent="0.2">
      <c r="A38" s="491" t="s">
        <v>877</v>
      </c>
      <c r="B38" s="3"/>
      <c r="C38" s="3"/>
      <c r="D38" s="3">
        <f>SUM(D36:D37)</f>
        <v>3712.5</v>
      </c>
      <c r="E38" s="3"/>
      <c r="F38" s="3"/>
      <c r="H38" s="3"/>
      <c r="I38" s="3"/>
      <c r="J38" s="3"/>
      <c r="K38" s="3"/>
      <c r="L38" s="3">
        <f t="shared" si="0"/>
        <v>0</v>
      </c>
    </row>
    <row r="39" spans="1:12" x14ac:dyDescent="0.2">
      <c r="A39" s="491"/>
      <c r="B39" s="491"/>
      <c r="C39" s="491"/>
      <c r="D39" s="3"/>
      <c r="E39" s="3"/>
      <c r="F39" s="3"/>
      <c r="H39" s="3"/>
      <c r="I39" s="3"/>
      <c r="J39" s="3"/>
      <c r="K39" s="3"/>
      <c r="L39" s="3">
        <f t="shared" si="0"/>
        <v>0</v>
      </c>
    </row>
    <row r="40" spans="1:12" ht="13.5" x14ac:dyDescent="0.25">
      <c r="A40" s="494" t="s">
        <v>1570</v>
      </c>
      <c r="B40" s="491"/>
      <c r="C40" s="491"/>
      <c r="D40" s="3"/>
      <c r="E40" s="3">
        <v>264</v>
      </c>
      <c r="F40" s="3">
        <v>405</v>
      </c>
      <c r="G40" s="3">
        <v>435</v>
      </c>
      <c r="H40" s="3">
        <v>435</v>
      </c>
      <c r="I40" s="3">
        <v>435</v>
      </c>
      <c r="J40" s="3"/>
      <c r="K40" s="3">
        <v>405</v>
      </c>
      <c r="L40" s="3">
        <f t="shared" si="0"/>
        <v>30</v>
      </c>
    </row>
    <row r="41" spans="1:12" hidden="1" x14ac:dyDescent="0.2">
      <c r="A41" s="491" t="s">
        <v>440</v>
      </c>
      <c r="B41" s="3">
        <v>3</v>
      </c>
      <c r="C41" s="3">
        <v>145</v>
      </c>
      <c r="D41" s="3">
        <f>ROUND(B41*C41,0)</f>
        <v>435</v>
      </c>
      <c r="E41" s="3"/>
      <c r="F41" s="3"/>
      <c r="H41" s="3"/>
      <c r="I41" s="3"/>
      <c r="J41" s="3"/>
      <c r="K41" s="3"/>
      <c r="L41" s="3">
        <f t="shared" si="0"/>
        <v>0</v>
      </c>
    </row>
    <row r="42" spans="1:12" x14ac:dyDescent="0.2">
      <c r="A42" s="491"/>
      <c r="B42" s="491"/>
      <c r="C42" s="491"/>
      <c r="D42" s="3"/>
      <c r="E42" s="3"/>
      <c r="F42" s="3"/>
      <c r="H42" s="3"/>
      <c r="I42" s="3"/>
      <c r="J42" s="3"/>
      <c r="K42" s="3"/>
      <c r="L42" s="3">
        <f t="shared" si="0"/>
        <v>0</v>
      </c>
    </row>
    <row r="43" spans="1:12" ht="13.5" x14ac:dyDescent="0.25">
      <c r="A43" s="494" t="s">
        <v>1491</v>
      </c>
      <c r="B43" s="491"/>
      <c r="C43" s="491"/>
      <c r="D43" s="3"/>
      <c r="E43" s="3">
        <v>1231</v>
      </c>
      <c r="F43" s="3">
        <v>1575</v>
      </c>
      <c r="G43" s="3">
        <v>1695</v>
      </c>
      <c r="H43" s="3">
        <v>1695</v>
      </c>
      <c r="I43" s="3">
        <v>1695</v>
      </c>
      <c r="J43" s="3"/>
      <c r="K43" s="3">
        <v>1575</v>
      </c>
      <c r="L43" s="3">
        <f t="shared" si="0"/>
        <v>120</v>
      </c>
    </row>
    <row r="44" spans="1:12" hidden="1" x14ac:dyDescent="0.2">
      <c r="A44" s="491" t="s">
        <v>440</v>
      </c>
      <c r="B44" s="3">
        <v>3</v>
      </c>
      <c r="C44" s="3">
        <v>565</v>
      </c>
      <c r="D44" s="3">
        <f>ROUND(B44*C44,0)</f>
        <v>1695</v>
      </c>
      <c r="E44" s="3"/>
      <c r="F44" s="3"/>
      <c r="H44" s="3"/>
      <c r="I44" s="3"/>
      <c r="J44" s="3"/>
      <c r="K44" s="3"/>
      <c r="L44" s="3">
        <f t="shared" si="0"/>
        <v>0</v>
      </c>
    </row>
    <row r="45" spans="1:12" x14ac:dyDescent="0.2">
      <c r="A45" s="491"/>
      <c r="B45" s="491"/>
      <c r="C45" s="491"/>
      <c r="D45" s="3"/>
      <c r="E45" s="3"/>
      <c r="F45" s="3"/>
      <c r="H45" s="3"/>
      <c r="I45" s="3"/>
      <c r="J45" s="3"/>
      <c r="K45" s="3"/>
      <c r="L45" s="3">
        <f t="shared" si="0"/>
        <v>0</v>
      </c>
    </row>
    <row r="46" spans="1:12" ht="13.5" x14ac:dyDescent="0.25">
      <c r="A46" s="494" t="s">
        <v>157</v>
      </c>
      <c r="B46" s="491"/>
      <c r="C46" s="491"/>
      <c r="D46" s="3"/>
      <c r="E46" s="3">
        <v>1058</v>
      </c>
      <c r="F46" s="3">
        <v>1354</v>
      </c>
      <c r="G46" s="3">
        <v>1355</v>
      </c>
      <c r="H46" s="3">
        <v>1355</v>
      </c>
      <c r="I46" s="3">
        <v>1401</v>
      </c>
      <c r="J46" s="3"/>
      <c r="K46" s="3">
        <v>1322</v>
      </c>
      <c r="L46" s="3">
        <f t="shared" si="0"/>
        <v>33</v>
      </c>
    </row>
    <row r="47" spans="1:12" x14ac:dyDescent="0.2">
      <c r="A47" s="16" t="s">
        <v>1536</v>
      </c>
      <c r="B47" s="3">
        <f>+D9</f>
        <v>76584</v>
      </c>
      <c r="C47" s="17">
        <v>8.0999999999999996E-3</v>
      </c>
      <c r="D47" s="3">
        <f>ROUND(B47*C47,0)-1</f>
        <v>619</v>
      </c>
      <c r="E47" s="3"/>
      <c r="F47" s="3"/>
      <c r="H47" s="3"/>
      <c r="I47" s="3"/>
      <c r="J47" s="3"/>
      <c r="K47" s="3"/>
      <c r="L47" s="3">
        <f t="shared" si="0"/>
        <v>0</v>
      </c>
    </row>
    <row r="48" spans="1:12" x14ac:dyDescent="0.2">
      <c r="A48" s="16" t="s">
        <v>883</v>
      </c>
      <c r="B48" s="3">
        <f>+D14</f>
        <v>93340</v>
      </c>
      <c r="C48" s="17">
        <v>8.0999999999999996E-3</v>
      </c>
      <c r="D48" s="3">
        <f>ROUND(B48*C48,0)</f>
        <v>756</v>
      </c>
      <c r="E48" s="3"/>
      <c r="F48" s="3"/>
      <c r="H48" s="3"/>
      <c r="I48" s="3"/>
      <c r="J48" s="3"/>
      <c r="K48" s="3"/>
      <c r="L48" s="3">
        <f t="shared" si="0"/>
        <v>0</v>
      </c>
    </row>
    <row r="49" spans="1:12" ht="15" x14ac:dyDescent="0.35">
      <c r="A49" s="16" t="s">
        <v>196</v>
      </c>
      <c r="B49" s="3">
        <f>+B26</f>
        <v>3260.6</v>
      </c>
      <c r="C49" s="17">
        <v>8.0999999999999996E-3</v>
      </c>
      <c r="D49" s="14">
        <f>ROUND(B49*C49,0)</f>
        <v>26</v>
      </c>
      <c r="E49" s="3"/>
      <c r="F49" s="3"/>
      <c r="H49" s="3"/>
      <c r="I49" s="3"/>
      <c r="J49" s="3"/>
      <c r="K49" s="3"/>
      <c r="L49" s="3">
        <f t="shared" si="0"/>
        <v>0</v>
      </c>
    </row>
    <row r="50" spans="1:12" x14ac:dyDescent="0.2">
      <c r="A50" s="491" t="s">
        <v>1320</v>
      </c>
      <c r="B50" s="491"/>
      <c r="C50" s="491"/>
      <c r="D50" s="3">
        <f>SUM(D47:D49)</f>
        <v>1401</v>
      </c>
      <c r="E50" s="3"/>
      <c r="F50" s="3"/>
      <c r="H50" s="3"/>
      <c r="I50" s="3"/>
      <c r="J50" s="3"/>
      <c r="K50" s="3"/>
      <c r="L50" s="3">
        <f t="shared" si="0"/>
        <v>0</v>
      </c>
    </row>
    <row r="51" spans="1:12" x14ac:dyDescent="0.2">
      <c r="A51" s="491"/>
      <c r="B51" s="491"/>
      <c r="C51" s="491"/>
      <c r="D51" s="3"/>
      <c r="E51" s="3"/>
      <c r="F51" s="3"/>
      <c r="H51" s="3"/>
      <c r="I51" s="3"/>
      <c r="J51" s="3"/>
      <c r="K51" s="3"/>
      <c r="L51" s="3">
        <f t="shared" si="0"/>
        <v>0</v>
      </c>
    </row>
    <row r="52" spans="1:12" ht="13.5" x14ac:dyDescent="0.25">
      <c r="A52" s="494" t="s">
        <v>158</v>
      </c>
      <c r="B52" s="491"/>
      <c r="C52" s="491"/>
      <c r="D52" s="3"/>
      <c r="E52" s="3">
        <v>35</v>
      </c>
      <c r="F52" s="3">
        <v>64</v>
      </c>
      <c r="G52" s="3">
        <v>64</v>
      </c>
      <c r="H52" s="3">
        <v>64</v>
      </c>
      <c r="I52" s="3">
        <v>65</v>
      </c>
      <c r="J52" s="3"/>
      <c r="K52" s="3">
        <v>64</v>
      </c>
      <c r="L52" s="3">
        <f t="shared" si="0"/>
        <v>0</v>
      </c>
    </row>
    <row r="53" spans="1:12" x14ac:dyDescent="0.2">
      <c r="A53" s="16" t="s">
        <v>1536</v>
      </c>
      <c r="B53" s="3">
        <v>1</v>
      </c>
      <c r="C53" s="3">
        <v>20</v>
      </c>
      <c r="D53" s="3">
        <f>ROUND(B53*C53,0)</f>
        <v>20</v>
      </c>
      <c r="E53" s="3"/>
      <c r="F53" s="3"/>
      <c r="H53" s="3"/>
      <c r="I53" s="3"/>
      <c r="J53" s="3"/>
    </row>
    <row r="54" spans="1:12" x14ac:dyDescent="0.2">
      <c r="A54" s="16" t="s">
        <v>883</v>
      </c>
      <c r="B54" s="3">
        <v>2</v>
      </c>
      <c r="C54" s="3">
        <v>20</v>
      </c>
      <c r="D54" s="3">
        <f>ROUND(B54*C54,0)</f>
        <v>40</v>
      </c>
      <c r="E54" s="3"/>
      <c r="F54" s="3"/>
      <c r="H54" s="3"/>
      <c r="I54" s="3"/>
      <c r="J54" s="3"/>
    </row>
    <row r="55" spans="1:12" x14ac:dyDescent="0.2">
      <c r="A55" s="491" t="s">
        <v>1530</v>
      </c>
      <c r="B55" s="3">
        <f>+D18</f>
        <v>3260.6</v>
      </c>
      <c r="C55" s="17">
        <v>1.4E-3</v>
      </c>
      <c r="D55" s="3">
        <f>ROUND(B55*C55,0)</f>
        <v>5</v>
      </c>
      <c r="E55" s="3"/>
      <c r="F55" s="3"/>
      <c r="H55" s="3"/>
      <c r="I55" s="3"/>
      <c r="J55" s="3"/>
    </row>
    <row r="56" spans="1:12" x14ac:dyDescent="0.2">
      <c r="A56" s="16" t="s">
        <v>196</v>
      </c>
      <c r="B56" s="3">
        <v>0</v>
      </c>
      <c r="C56" s="3">
        <v>20</v>
      </c>
      <c r="D56" s="21">
        <f>ROUND(B56*C56,0)</f>
        <v>0</v>
      </c>
      <c r="E56" s="3"/>
      <c r="F56" s="3"/>
      <c r="H56" s="3"/>
      <c r="I56" s="3"/>
      <c r="J56" s="3"/>
    </row>
    <row r="57" spans="1:12" x14ac:dyDescent="0.2">
      <c r="A57" s="491" t="s">
        <v>1320</v>
      </c>
      <c r="B57" s="491"/>
      <c r="C57" s="491"/>
      <c r="D57" s="3">
        <f>SUM(D53:D56)</f>
        <v>65</v>
      </c>
      <c r="E57" s="3"/>
      <c r="F57" s="3"/>
      <c r="H57" s="3"/>
      <c r="I57" s="3"/>
      <c r="J57" s="3"/>
    </row>
    <row r="58" spans="1:12" x14ac:dyDescent="0.2">
      <c r="A58" s="491"/>
      <c r="B58" s="491"/>
      <c r="C58" s="491"/>
      <c r="D58" s="3"/>
      <c r="E58" s="3"/>
      <c r="F58" s="3"/>
      <c r="H58" s="3"/>
      <c r="I58" s="3"/>
      <c r="J58" s="3"/>
    </row>
    <row r="59" spans="1:12" ht="13.5" x14ac:dyDescent="0.25">
      <c r="A59" s="55" t="s">
        <v>1914</v>
      </c>
      <c r="B59" s="491"/>
      <c r="C59" s="491"/>
      <c r="D59" s="3">
        <v>0</v>
      </c>
      <c r="E59" s="3">
        <v>0</v>
      </c>
      <c r="F59" s="3">
        <v>0</v>
      </c>
      <c r="G59" s="3">
        <v>0</v>
      </c>
      <c r="H59" s="3">
        <v>0</v>
      </c>
      <c r="I59" s="3">
        <v>0</v>
      </c>
      <c r="J59" s="3"/>
    </row>
    <row r="60" spans="1:12" s="395" customFormat="1" ht="13.5" x14ac:dyDescent="0.25">
      <c r="A60" s="55"/>
      <c r="B60" s="491"/>
      <c r="C60" s="491"/>
      <c r="D60" s="3"/>
      <c r="E60" s="3"/>
      <c r="F60" s="3"/>
      <c r="G60" s="3"/>
      <c r="H60" s="3"/>
      <c r="I60" s="3"/>
      <c r="J60" s="3"/>
    </row>
    <row r="61" spans="1:12" x14ac:dyDescent="0.2">
      <c r="A61" s="493" t="s">
        <v>159</v>
      </c>
      <c r="B61" s="60"/>
      <c r="C61" s="60"/>
      <c r="D61" s="4"/>
      <c r="E61" s="4">
        <v>0</v>
      </c>
      <c r="F61" s="4">
        <v>2500</v>
      </c>
      <c r="G61" s="4">
        <v>2500</v>
      </c>
      <c r="H61" s="4">
        <v>2500</v>
      </c>
      <c r="I61" s="4">
        <v>2500</v>
      </c>
      <c r="J61" s="4"/>
    </row>
    <row r="62" spans="1:12" x14ac:dyDescent="0.2">
      <c r="A62" s="60"/>
      <c r="B62" s="60"/>
      <c r="C62" s="4"/>
      <c r="D62" s="4"/>
      <c r="E62" s="4"/>
      <c r="F62" s="4"/>
      <c r="G62" s="4"/>
      <c r="H62" s="4"/>
      <c r="I62" s="4"/>
      <c r="J62" s="4"/>
    </row>
    <row r="63" spans="1:12" x14ac:dyDescent="0.2">
      <c r="A63" s="493" t="s">
        <v>1308</v>
      </c>
      <c r="B63" s="60"/>
      <c r="C63" s="4"/>
      <c r="D63" s="4">
        <v>0</v>
      </c>
      <c r="E63" s="4">
        <v>0</v>
      </c>
      <c r="F63" s="4">
        <v>0</v>
      </c>
      <c r="G63" s="4">
        <v>0</v>
      </c>
      <c r="H63" s="4">
        <v>0</v>
      </c>
      <c r="I63" s="4">
        <v>0</v>
      </c>
      <c r="J63" s="4"/>
    </row>
    <row r="64" spans="1:12" x14ac:dyDescent="0.2">
      <c r="A64" s="60"/>
      <c r="B64" s="60"/>
      <c r="C64" s="4"/>
      <c r="D64" s="4"/>
      <c r="E64" s="4"/>
      <c r="F64" s="4"/>
      <c r="G64" s="4"/>
      <c r="H64" s="4"/>
      <c r="I64" s="4"/>
      <c r="J64" s="4"/>
    </row>
    <row r="65" spans="1:10" x14ac:dyDescent="0.2">
      <c r="A65" s="493" t="s">
        <v>1309</v>
      </c>
      <c r="B65" s="4"/>
      <c r="C65" s="74" t="s">
        <v>418</v>
      </c>
      <c r="D65" s="74"/>
      <c r="E65" s="4">
        <v>6219</v>
      </c>
      <c r="F65" s="4">
        <v>6340</v>
      </c>
      <c r="G65" s="4">
        <v>6340</v>
      </c>
      <c r="H65" s="4">
        <v>6340</v>
      </c>
      <c r="I65" s="4">
        <v>6340</v>
      </c>
      <c r="J65" s="4"/>
    </row>
    <row r="66" spans="1:10" x14ac:dyDescent="0.2">
      <c r="A66" s="491" t="s">
        <v>1026</v>
      </c>
      <c r="B66" s="3"/>
      <c r="C66" s="491"/>
      <c r="D66" s="3">
        <v>800</v>
      </c>
      <c r="E66" s="4"/>
      <c r="F66" s="4"/>
      <c r="G66" s="4"/>
      <c r="H66" s="4"/>
      <c r="I66" s="4"/>
      <c r="J66" s="4"/>
    </row>
    <row r="67" spans="1:10" x14ac:dyDescent="0.2">
      <c r="A67" s="491" t="s">
        <v>2164</v>
      </c>
      <c r="B67" s="3"/>
      <c r="C67" s="491"/>
      <c r="D67" s="3">
        <v>500</v>
      </c>
      <c r="E67" s="4"/>
      <c r="F67" s="4"/>
      <c r="G67" s="4"/>
      <c r="H67" s="4"/>
      <c r="I67" s="4"/>
      <c r="J67" s="4"/>
    </row>
    <row r="68" spans="1:10" x14ac:dyDescent="0.2">
      <c r="A68" s="491" t="s">
        <v>2013</v>
      </c>
      <c r="B68" s="3"/>
      <c r="C68" s="491"/>
      <c r="D68" s="3">
        <v>3000</v>
      </c>
      <c r="E68" s="4"/>
      <c r="F68" s="4"/>
      <c r="G68" s="4"/>
      <c r="H68" s="4"/>
      <c r="I68" s="4"/>
      <c r="J68" s="4"/>
    </row>
    <row r="69" spans="1:10" ht="15" x14ac:dyDescent="0.35">
      <c r="A69" s="491" t="s">
        <v>225</v>
      </c>
      <c r="B69" s="3"/>
      <c r="C69" s="491"/>
      <c r="D69" s="14">
        <f>(85*12)+(85*12)</f>
        <v>2040</v>
      </c>
      <c r="E69" s="4"/>
      <c r="F69" s="4"/>
      <c r="G69" s="4"/>
      <c r="H69" s="4"/>
      <c r="I69" s="4"/>
      <c r="J69" s="4"/>
    </row>
    <row r="70" spans="1:10" x14ac:dyDescent="0.2">
      <c r="A70" s="491" t="s">
        <v>1320</v>
      </c>
      <c r="B70" s="3"/>
      <c r="C70" s="491"/>
      <c r="D70" s="3">
        <f>SUM(D66:D69)</f>
        <v>6340</v>
      </c>
      <c r="E70" s="4"/>
      <c r="F70" s="4"/>
      <c r="G70" s="4"/>
      <c r="H70" s="4"/>
      <c r="I70" s="4"/>
      <c r="J70" s="4"/>
    </row>
    <row r="71" spans="1:10" x14ac:dyDescent="0.2">
      <c r="A71" s="60"/>
      <c r="B71" s="60"/>
      <c r="C71" s="4"/>
      <c r="D71" s="4"/>
      <c r="E71" s="4"/>
      <c r="F71" s="4"/>
      <c r="G71" s="4"/>
      <c r="H71" s="4"/>
      <c r="I71" s="4"/>
      <c r="J71" s="4"/>
    </row>
    <row r="72" spans="1:10" x14ac:dyDescent="0.2">
      <c r="A72" s="493" t="s">
        <v>1310</v>
      </c>
      <c r="B72" s="60"/>
      <c r="C72" s="4"/>
      <c r="D72" s="4"/>
      <c r="E72" s="4">
        <v>1032</v>
      </c>
      <c r="F72" s="4">
        <v>3500</v>
      </c>
      <c r="G72" s="4">
        <v>3500</v>
      </c>
      <c r="H72" s="4">
        <v>3500</v>
      </c>
      <c r="I72" s="4">
        <v>3500</v>
      </c>
      <c r="J72" s="4"/>
    </row>
    <row r="73" spans="1:10" x14ac:dyDescent="0.2">
      <c r="A73" s="60"/>
      <c r="B73" s="60"/>
      <c r="C73" s="4"/>
      <c r="D73" s="4"/>
      <c r="E73" s="4"/>
      <c r="F73" s="4"/>
      <c r="G73" s="4"/>
      <c r="H73" s="4"/>
      <c r="I73" s="4"/>
      <c r="J73" s="4"/>
    </row>
    <row r="74" spans="1:10" x14ac:dyDescent="0.2">
      <c r="A74" s="493" t="s">
        <v>1413</v>
      </c>
      <c r="B74" s="60"/>
      <c r="C74" s="4"/>
      <c r="D74" s="4">
        <v>0</v>
      </c>
      <c r="E74" s="4">
        <v>0</v>
      </c>
      <c r="F74" s="4">
        <v>10000</v>
      </c>
      <c r="G74" s="4">
        <v>10000</v>
      </c>
      <c r="H74" s="4">
        <v>3000</v>
      </c>
      <c r="I74" s="4">
        <v>3000</v>
      </c>
      <c r="J74" s="4"/>
    </row>
    <row r="75" spans="1:10" s="373" customFormat="1" x14ac:dyDescent="0.2">
      <c r="A75" s="262" t="s">
        <v>2445</v>
      </c>
      <c r="B75" s="60"/>
      <c r="C75" s="4">
        <v>3000</v>
      </c>
      <c r="D75" s="4"/>
      <c r="E75" s="4"/>
      <c r="F75" s="4"/>
      <c r="G75" s="4"/>
      <c r="H75" s="4"/>
      <c r="I75" s="4"/>
      <c r="J75" s="4"/>
    </row>
    <row r="76" spans="1:10" x14ac:dyDescent="0.2">
      <c r="A76" s="60"/>
      <c r="B76" s="60"/>
      <c r="C76" s="4"/>
      <c r="D76" s="4"/>
      <c r="E76" s="4"/>
      <c r="F76" s="4"/>
      <c r="G76" s="4"/>
      <c r="H76" s="4"/>
      <c r="I76" s="4"/>
      <c r="J76" s="4"/>
    </row>
    <row r="77" spans="1:10" x14ac:dyDescent="0.2">
      <c r="A77" s="84" t="s">
        <v>1311</v>
      </c>
      <c r="B77" s="60"/>
      <c r="C77" s="4"/>
      <c r="D77" s="4"/>
      <c r="E77" s="4">
        <v>1684</v>
      </c>
      <c r="F77" s="4">
        <v>1987</v>
      </c>
      <c r="G77" s="4">
        <v>2086</v>
      </c>
      <c r="H77" s="4">
        <v>2086</v>
      </c>
      <c r="I77" s="4">
        <v>2086</v>
      </c>
      <c r="J77" s="4"/>
    </row>
    <row r="78" spans="1:10" x14ac:dyDescent="0.2">
      <c r="A78" s="60" t="s">
        <v>2014</v>
      </c>
      <c r="B78" s="60"/>
      <c r="C78" s="4"/>
      <c r="D78" s="470">
        <v>2086</v>
      </c>
      <c r="E78" s="4"/>
      <c r="F78" s="4"/>
      <c r="G78" s="4"/>
      <c r="H78" s="4"/>
      <c r="I78" s="4"/>
      <c r="J78" s="4"/>
    </row>
    <row r="79" spans="1:10" x14ac:dyDescent="0.2">
      <c r="A79" s="60"/>
      <c r="B79" s="60"/>
      <c r="C79" s="4"/>
      <c r="D79" s="4"/>
      <c r="E79" s="4"/>
      <c r="F79" s="4"/>
      <c r="G79" s="4"/>
      <c r="H79" s="4"/>
      <c r="I79" s="4"/>
      <c r="J79" s="4"/>
    </row>
    <row r="80" spans="1:10" x14ac:dyDescent="0.2">
      <c r="A80" s="493" t="s">
        <v>1312</v>
      </c>
      <c r="B80" s="60"/>
      <c r="C80" s="74" t="s">
        <v>418</v>
      </c>
      <c r="D80" s="74"/>
      <c r="E80" s="4">
        <v>275</v>
      </c>
      <c r="F80" s="4">
        <v>1500</v>
      </c>
      <c r="G80" s="4">
        <v>1500</v>
      </c>
      <c r="H80" s="4">
        <v>1500</v>
      </c>
      <c r="I80" s="4">
        <v>1500</v>
      </c>
      <c r="J80" s="4"/>
    </row>
    <row r="81" spans="1:10" x14ac:dyDescent="0.2">
      <c r="A81" s="60"/>
      <c r="B81" s="60"/>
      <c r="C81" s="4"/>
      <c r="D81" s="4"/>
      <c r="E81" s="4"/>
      <c r="F81" s="4"/>
      <c r="G81" s="4"/>
      <c r="H81" s="4"/>
      <c r="I81" s="4"/>
      <c r="J81" s="4"/>
    </row>
    <row r="82" spans="1:10" x14ac:dyDescent="0.2">
      <c r="A82" s="493" t="s">
        <v>1313</v>
      </c>
      <c r="B82" s="60"/>
      <c r="C82" s="4"/>
      <c r="D82" s="4"/>
      <c r="E82" s="4">
        <v>315</v>
      </c>
      <c r="F82" s="4">
        <v>2000</v>
      </c>
      <c r="G82" s="4">
        <v>2000</v>
      </c>
      <c r="H82" s="4">
        <v>2000</v>
      </c>
      <c r="I82" s="4">
        <v>2000</v>
      </c>
      <c r="J82" s="4"/>
    </row>
    <row r="83" spans="1:10" x14ac:dyDescent="0.2">
      <c r="A83" s="60"/>
      <c r="B83" s="60"/>
      <c r="C83" s="4"/>
      <c r="D83" s="4"/>
      <c r="E83" s="4"/>
      <c r="F83" s="4"/>
      <c r="G83" s="4"/>
      <c r="H83" s="4"/>
      <c r="I83" s="4"/>
      <c r="J83" s="4"/>
    </row>
    <row r="84" spans="1:10" x14ac:dyDescent="0.2">
      <c r="A84" s="493" t="s">
        <v>739</v>
      </c>
      <c r="B84" s="60"/>
      <c r="C84" s="4"/>
      <c r="D84" s="4"/>
      <c r="E84" s="4">
        <v>0</v>
      </c>
      <c r="F84" s="4">
        <v>5000</v>
      </c>
      <c r="G84" s="4">
        <v>5000</v>
      </c>
      <c r="H84" s="4">
        <v>5000</v>
      </c>
      <c r="I84" s="4">
        <v>5000</v>
      </c>
      <c r="J84" s="4"/>
    </row>
    <row r="85" spans="1:10" x14ac:dyDescent="0.2">
      <c r="A85" s="60"/>
      <c r="B85" s="60"/>
      <c r="C85" s="4"/>
      <c r="D85" s="4"/>
      <c r="E85" s="4"/>
      <c r="F85" s="4"/>
      <c r="G85" s="4"/>
      <c r="H85" s="4"/>
      <c r="I85" s="4"/>
      <c r="J85" s="4"/>
    </row>
    <row r="86" spans="1:10" x14ac:dyDescent="0.2">
      <c r="A86" s="493" t="s">
        <v>1314</v>
      </c>
      <c r="B86" s="60"/>
      <c r="C86" s="4"/>
      <c r="D86" s="4"/>
      <c r="E86" s="4">
        <v>800</v>
      </c>
      <c r="F86" s="4">
        <v>3000</v>
      </c>
      <c r="G86" s="4">
        <v>3000</v>
      </c>
      <c r="H86" s="4">
        <v>3000</v>
      </c>
      <c r="I86" s="4">
        <v>3000</v>
      </c>
      <c r="J86" s="4"/>
    </row>
    <row r="87" spans="1:10" x14ac:dyDescent="0.2">
      <c r="A87" s="60"/>
      <c r="B87" s="60"/>
      <c r="C87" s="4"/>
      <c r="D87" s="4"/>
      <c r="E87" s="4"/>
      <c r="F87" s="4"/>
      <c r="G87" s="4"/>
      <c r="H87" s="4"/>
      <c r="I87" s="4"/>
      <c r="J87" s="4"/>
    </row>
    <row r="88" spans="1:10" x14ac:dyDescent="0.2">
      <c r="A88" s="493" t="s">
        <v>160</v>
      </c>
      <c r="B88" s="60"/>
      <c r="C88" s="4"/>
      <c r="D88" s="4"/>
      <c r="E88" s="4">
        <v>23295</v>
      </c>
      <c r="F88" s="3">
        <v>23806</v>
      </c>
      <c r="G88" s="3">
        <v>24915</v>
      </c>
      <c r="H88" s="3">
        <v>24915</v>
      </c>
      <c r="I88" s="3">
        <v>24915</v>
      </c>
      <c r="J88" s="3"/>
    </row>
    <row r="89" spans="1:10" x14ac:dyDescent="0.2">
      <c r="A89" s="47" t="s">
        <v>1412</v>
      </c>
      <c r="B89" s="60"/>
      <c r="C89" s="4"/>
      <c r="D89" s="4">
        <v>22915</v>
      </c>
      <c r="E89" s="4"/>
      <c r="F89" s="4"/>
      <c r="G89" s="4"/>
      <c r="H89" s="4"/>
      <c r="I89" s="4"/>
      <c r="J89" s="4"/>
    </row>
    <row r="90" spans="1:10" ht="15" x14ac:dyDescent="0.35">
      <c r="A90" s="47" t="s">
        <v>1415</v>
      </c>
      <c r="B90" s="60"/>
      <c r="C90" s="4"/>
      <c r="D90" s="33">
        <v>2000</v>
      </c>
      <c r="E90" s="4"/>
      <c r="F90" s="4"/>
      <c r="G90" s="4"/>
      <c r="H90" s="4"/>
      <c r="I90" s="4"/>
      <c r="J90" s="4"/>
    </row>
    <row r="91" spans="1:10" x14ac:dyDescent="0.2">
      <c r="A91" s="47"/>
      <c r="B91" s="60"/>
      <c r="C91" s="4"/>
      <c r="D91" s="4">
        <f>SUM(D89:D90)</f>
        <v>24915</v>
      </c>
      <c r="E91" s="4"/>
      <c r="F91" s="4"/>
      <c r="G91" s="4"/>
      <c r="H91" s="4"/>
      <c r="I91" s="4"/>
      <c r="J91" s="4"/>
    </row>
    <row r="92" spans="1:10" x14ac:dyDescent="0.2">
      <c r="A92" s="60"/>
      <c r="B92" s="60"/>
      <c r="C92" s="4"/>
      <c r="D92" s="4"/>
      <c r="E92" s="4"/>
      <c r="F92" s="4"/>
      <c r="G92" s="4"/>
      <c r="H92" s="4"/>
      <c r="I92" s="4"/>
      <c r="J92" s="4"/>
    </row>
    <row r="93" spans="1:10" x14ac:dyDescent="0.2">
      <c r="A93" s="493" t="s">
        <v>161</v>
      </c>
      <c r="B93" s="60"/>
      <c r="C93" s="4"/>
      <c r="D93" s="4"/>
      <c r="E93" s="4">
        <v>0</v>
      </c>
      <c r="F93" s="4">
        <v>250</v>
      </c>
      <c r="G93" s="4">
        <v>250</v>
      </c>
      <c r="H93" s="4">
        <v>250</v>
      </c>
      <c r="I93" s="4">
        <v>250</v>
      </c>
      <c r="J93" s="4"/>
    </row>
    <row r="94" spans="1:10" x14ac:dyDescent="0.2">
      <c r="A94" s="60"/>
      <c r="B94" s="60"/>
      <c r="C94" s="4"/>
      <c r="D94" s="4"/>
      <c r="E94" s="4"/>
      <c r="F94" s="4"/>
      <c r="G94" s="4"/>
      <c r="H94" s="4"/>
      <c r="I94" s="4"/>
      <c r="J94" s="4"/>
    </row>
    <row r="95" spans="1:10" x14ac:dyDescent="0.2">
      <c r="A95" s="493" t="s">
        <v>1414</v>
      </c>
      <c r="B95" s="60"/>
      <c r="C95" s="4"/>
      <c r="D95" s="4"/>
      <c r="E95" s="4">
        <v>100</v>
      </c>
      <c r="F95" s="4">
        <v>100</v>
      </c>
      <c r="G95" s="4">
        <v>100</v>
      </c>
      <c r="H95" s="4">
        <v>100</v>
      </c>
      <c r="I95" s="4">
        <v>100</v>
      </c>
      <c r="J95" s="4"/>
    </row>
    <row r="96" spans="1:10" x14ac:dyDescent="0.2">
      <c r="A96" s="60"/>
      <c r="B96" s="60"/>
      <c r="C96" s="4"/>
      <c r="D96" s="4"/>
      <c r="E96" s="4"/>
      <c r="F96" s="4"/>
      <c r="G96" s="4"/>
      <c r="H96" s="4"/>
      <c r="I96" s="4"/>
      <c r="J96" s="4"/>
    </row>
    <row r="97" spans="1:10" x14ac:dyDescent="0.2">
      <c r="A97" s="493" t="s">
        <v>1924</v>
      </c>
      <c r="B97" s="60"/>
      <c r="C97" s="4"/>
      <c r="D97" s="4"/>
      <c r="E97" s="4">
        <v>0</v>
      </c>
      <c r="F97" s="4">
        <v>0</v>
      </c>
      <c r="G97" s="4">
        <v>0</v>
      </c>
      <c r="H97" s="4">
        <v>0</v>
      </c>
      <c r="I97" s="4">
        <v>0</v>
      </c>
      <c r="J97" s="4"/>
    </row>
    <row r="98" spans="1:10" x14ac:dyDescent="0.2">
      <c r="A98" s="60"/>
      <c r="B98" s="60"/>
      <c r="C98" s="4"/>
      <c r="D98" s="4"/>
      <c r="E98" s="4"/>
      <c r="F98" s="4"/>
      <c r="G98" s="4"/>
      <c r="H98" s="4"/>
      <c r="I98" s="4"/>
      <c r="J98" s="4"/>
    </row>
    <row r="99" spans="1:10" ht="15" x14ac:dyDescent="0.35">
      <c r="A99" s="493" t="s">
        <v>162</v>
      </c>
      <c r="B99" s="492" t="s">
        <v>2163</v>
      </c>
      <c r="C99" s="492" t="s">
        <v>2290</v>
      </c>
      <c r="D99" s="492" t="s">
        <v>2507</v>
      </c>
      <c r="E99" s="33">
        <v>68262</v>
      </c>
      <c r="F99" s="33">
        <v>55000</v>
      </c>
      <c r="G99" s="33">
        <v>55000</v>
      </c>
      <c r="H99" s="33">
        <v>55000</v>
      </c>
      <c r="I99" s="33">
        <v>55000</v>
      </c>
      <c r="J99" s="33"/>
    </row>
    <row r="100" spans="1:10" x14ac:dyDescent="0.2">
      <c r="A100" s="85" t="s">
        <v>1209</v>
      </c>
      <c r="B100" s="122">
        <v>10000</v>
      </c>
      <c r="C100" s="122">
        <v>10000</v>
      </c>
      <c r="D100" s="122">
        <v>10000</v>
      </c>
      <c r="F100" s="3"/>
      <c r="H100" s="3"/>
      <c r="I100" s="3"/>
      <c r="J100" s="3"/>
    </row>
    <row r="101" spans="1:10" x14ac:dyDescent="0.2">
      <c r="A101" s="85" t="s">
        <v>2064</v>
      </c>
      <c r="B101" s="122">
        <v>5000</v>
      </c>
      <c r="C101" s="122">
        <v>5000</v>
      </c>
      <c r="D101" s="122">
        <v>5000</v>
      </c>
      <c r="G101" s="348"/>
      <c r="H101" s="475"/>
      <c r="I101" s="413"/>
      <c r="J101" s="415"/>
    </row>
    <row r="102" spans="1:10" x14ac:dyDescent="0.2">
      <c r="A102" s="491" t="s">
        <v>2132</v>
      </c>
      <c r="B102" s="122"/>
      <c r="C102" s="122">
        <v>20000</v>
      </c>
      <c r="D102" s="122">
        <v>40000</v>
      </c>
      <c r="G102" s="348"/>
      <c r="H102" s="475"/>
      <c r="I102" s="413"/>
      <c r="J102" s="415"/>
    </row>
    <row r="103" spans="1:10" x14ac:dyDescent="0.2">
      <c r="A103" s="85" t="s">
        <v>2065</v>
      </c>
      <c r="B103" s="122"/>
      <c r="C103" s="122"/>
      <c r="D103" s="122"/>
      <c r="G103" s="348"/>
      <c r="H103" s="475"/>
      <c r="I103" s="413"/>
      <c r="J103" s="415"/>
    </row>
    <row r="104" spans="1:10" x14ac:dyDescent="0.2">
      <c r="A104" s="85" t="s">
        <v>2119</v>
      </c>
      <c r="B104" s="122"/>
      <c r="C104" s="122"/>
      <c r="D104" s="122"/>
      <c r="G104" s="348"/>
      <c r="H104" s="475"/>
      <c r="I104" s="413"/>
      <c r="J104" s="415"/>
    </row>
    <row r="105" spans="1:10" x14ac:dyDescent="0.2">
      <c r="A105" s="85" t="s">
        <v>1999</v>
      </c>
      <c r="B105" s="122">
        <v>25000</v>
      </c>
      <c r="C105" s="122"/>
      <c r="D105" s="122"/>
      <c r="G105" s="348"/>
      <c r="H105" s="475"/>
      <c r="I105" s="413"/>
      <c r="J105" s="415"/>
    </row>
    <row r="106" spans="1:10" x14ac:dyDescent="0.2">
      <c r="A106" s="85" t="s">
        <v>2446</v>
      </c>
      <c r="B106" s="122"/>
      <c r="C106" s="122">
        <v>20000</v>
      </c>
      <c r="D106" s="122"/>
      <c r="G106" s="348"/>
      <c r="H106" s="475"/>
      <c r="I106" s="413"/>
      <c r="J106" s="415"/>
    </row>
    <row r="107" spans="1:10" x14ac:dyDescent="0.2">
      <c r="A107" s="85" t="s">
        <v>2197</v>
      </c>
      <c r="B107" s="123">
        <v>15000</v>
      </c>
      <c r="C107" s="123">
        <v>0</v>
      </c>
      <c r="D107" s="123">
        <v>0</v>
      </c>
      <c r="F107" s="3"/>
      <c r="H107" s="3"/>
      <c r="I107" s="3"/>
      <c r="J107" s="3"/>
    </row>
    <row r="108" spans="1:10" x14ac:dyDescent="0.2">
      <c r="A108" s="491"/>
      <c r="B108" s="52">
        <f>SUM(B100:B107)</f>
        <v>55000</v>
      </c>
      <c r="C108" s="52">
        <f>SUM(C100:C107)</f>
        <v>55000</v>
      </c>
      <c r="D108" s="52">
        <f>SUM(D100:D107)</f>
        <v>55000</v>
      </c>
      <c r="F108" s="3"/>
      <c r="H108" s="3"/>
      <c r="I108" s="3"/>
      <c r="J108" s="3"/>
    </row>
    <row r="109" spans="1:10" x14ac:dyDescent="0.2">
      <c r="A109" s="491"/>
      <c r="B109" s="491"/>
      <c r="C109" s="491"/>
      <c r="D109" s="491"/>
      <c r="F109" s="3"/>
      <c r="H109" s="3"/>
      <c r="I109" s="3"/>
      <c r="J109" s="3"/>
    </row>
    <row r="110" spans="1:10" x14ac:dyDescent="0.2">
      <c r="A110" s="23" t="s">
        <v>1405</v>
      </c>
      <c r="B110" s="491"/>
      <c r="C110" s="491"/>
      <c r="D110" s="3"/>
      <c r="E110" s="3">
        <f>SUM(E6:E99)</f>
        <v>326108</v>
      </c>
      <c r="F110" s="3">
        <f t="shared" ref="F110:J110" si="1">SUM(F6:F99)</f>
        <v>382268</v>
      </c>
      <c r="G110" s="3">
        <f t="shared" si="1"/>
        <v>386596</v>
      </c>
      <c r="H110" s="3">
        <f t="shared" ref="H110" si="2">SUM(H6:H99)</f>
        <v>379596</v>
      </c>
      <c r="I110" s="3">
        <f t="shared" si="1"/>
        <v>386675</v>
      </c>
      <c r="J110" s="3">
        <f t="shared" si="1"/>
        <v>0</v>
      </c>
    </row>
    <row r="111" spans="1:10" x14ac:dyDescent="0.2">
      <c r="A111" s="491"/>
      <c r="B111" s="491"/>
      <c r="C111" s="491"/>
      <c r="D111" s="491"/>
      <c r="G111" s="348"/>
      <c r="H111" s="475"/>
      <c r="I111" s="413"/>
    </row>
    <row r="112" spans="1:10" x14ac:dyDescent="0.2">
      <c r="A112" s="491" t="s">
        <v>628</v>
      </c>
      <c r="B112" s="491"/>
      <c r="C112" s="491"/>
      <c r="D112" s="491"/>
      <c r="E112" s="3">
        <f>SUM(E6:E59)</f>
        <v>224126</v>
      </c>
      <c r="F112" s="3">
        <f>SUM(F6:F59)</f>
        <v>267285</v>
      </c>
      <c r="G112" s="3">
        <f>SUM(G6:G60)</f>
        <v>270405</v>
      </c>
      <c r="H112" s="3">
        <f>SUM(H6:H60)</f>
        <v>270405</v>
      </c>
      <c r="I112" s="3">
        <f>SUM(I6:I59)</f>
        <v>277484</v>
      </c>
      <c r="J112" s="3">
        <f>SUM(J6:J59)</f>
        <v>0</v>
      </c>
    </row>
    <row r="113" spans="1:10" x14ac:dyDescent="0.2">
      <c r="A113" s="491" t="s">
        <v>1024</v>
      </c>
      <c r="B113" s="491"/>
      <c r="C113" s="491"/>
      <c r="D113" s="491"/>
      <c r="E113" s="3">
        <f t="shared" ref="E113:J113" si="3">SUM(E61:E95)</f>
        <v>33720</v>
      </c>
      <c r="F113" s="3">
        <f t="shared" si="3"/>
        <v>59983</v>
      </c>
      <c r="G113" s="3">
        <f t="shared" si="3"/>
        <v>61191</v>
      </c>
      <c r="H113" s="3">
        <f t="shared" ref="H113" si="4">SUM(H61:H95)</f>
        <v>54191</v>
      </c>
      <c r="I113" s="3">
        <f>SUM(I61:I95)</f>
        <v>54191</v>
      </c>
      <c r="J113" s="3">
        <f t="shared" si="3"/>
        <v>0</v>
      </c>
    </row>
    <row r="114" spans="1:10" ht="15" x14ac:dyDescent="0.35">
      <c r="A114" s="491" t="s">
        <v>1025</v>
      </c>
      <c r="B114" s="491"/>
      <c r="C114" s="491"/>
      <c r="D114" s="491"/>
      <c r="E114" s="14">
        <f t="shared" ref="E114:J114" si="5">SUM(E97:E108)</f>
        <v>68262</v>
      </c>
      <c r="F114" s="14">
        <f t="shared" si="5"/>
        <v>55000</v>
      </c>
      <c r="G114" s="14">
        <f t="shared" si="5"/>
        <v>55000</v>
      </c>
      <c r="H114" s="14">
        <f t="shared" ref="H114" si="6">SUM(H97:H108)</f>
        <v>55000</v>
      </c>
      <c r="I114" s="14">
        <f>SUM(I97:I108)</f>
        <v>55000</v>
      </c>
      <c r="J114" s="14">
        <f t="shared" si="5"/>
        <v>0</v>
      </c>
    </row>
    <row r="115" spans="1:10" x14ac:dyDescent="0.2">
      <c r="A115" s="491" t="s">
        <v>1320</v>
      </c>
      <c r="B115" s="491"/>
      <c r="C115" s="491"/>
      <c r="D115" s="491"/>
      <c r="E115" s="3">
        <f t="shared" ref="E115:J115" si="7">SUM(E112:E114)</f>
        <v>326108</v>
      </c>
      <c r="F115" s="3">
        <f t="shared" si="7"/>
        <v>382268</v>
      </c>
      <c r="G115" s="3">
        <f t="shared" si="7"/>
        <v>386596</v>
      </c>
      <c r="H115" s="3">
        <f t="shared" ref="H115" si="8">SUM(H112:H114)</f>
        <v>379596</v>
      </c>
      <c r="I115" s="3">
        <f>SUM(I112:I114)</f>
        <v>386675</v>
      </c>
      <c r="J115" s="3">
        <f t="shared" si="7"/>
        <v>0</v>
      </c>
    </row>
    <row r="116" spans="1:10" x14ac:dyDescent="0.2">
      <c r="A116" s="60"/>
      <c r="B116" s="491"/>
      <c r="C116" s="491"/>
      <c r="D116" s="491"/>
      <c r="E116" s="3"/>
      <c r="F116" s="3"/>
      <c r="H116" s="3"/>
      <c r="I116" s="3"/>
      <c r="J116" s="3"/>
    </row>
    <row r="117" spans="1:10" x14ac:dyDescent="0.2">
      <c r="A117" s="60"/>
      <c r="B117" s="491"/>
      <c r="C117" s="491"/>
      <c r="D117" s="491"/>
      <c r="F117" s="3"/>
      <c r="H117" s="3"/>
      <c r="I117" s="3"/>
      <c r="J117" s="3">
        <v>7079</v>
      </c>
    </row>
    <row r="118" spans="1:10" x14ac:dyDescent="0.2">
      <c r="A118" s="60"/>
      <c r="B118" s="491"/>
      <c r="C118" s="491"/>
      <c r="D118" s="491"/>
      <c r="F118" s="3"/>
      <c r="H118" s="3"/>
      <c r="I118" s="3">
        <f>+I115-H115</f>
        <v>7079</v>
      </c>
      <c r="J118" s="3">
        <f>+J115-H115</f>
        <v>-379596</v>
      </c>
    </row>
    <row r="119" spans="1:10" x14ac:dyDescent="0.2">
      <c r="A119" s="60"/>
      <c r="B119" s="491"/>
      <c r="C119" s="491"/>
      <c r="D119" s="491"/>
      <c r="F119" s="3"/>
      <c r="H119" s="3"/>
      <c r="I119" s="3"/>
      <c r="J119" s="3">
        <f>J117-J118</f>
        <v>386675</v>
      </c>
    </row>
    <row r="120" spans="1:10" ht="15.75" x14ac:dyDescent="0.2">
      <c r="A120" s="297"/>
      <c r="B120" s="491"/>
      <c r="C120" s="491"/>
      <c r="D120" s="491"/>
      <c r="F120" s="3"/>
      <c r="H120" s="3"/>
      <c r="I120" s="3"/>
      <c r="J120" s="3"/>
    </row>
    <row r="121" spans="1:10" ht="15.75" x14ac:dyDescent="0.2">
      <c r="A121" s="297"/>
      <c r="B121" s="491"/>
      <c r="C121" s="491"/>
      <c r="D121" s="491"/>
      <c r="F121" s="3"/>
      <c r="H121" s="3"/>
      <c r="I121" s="3"/>
      <c r="J121" s="3"/>
    </row>
    <row r="122" spans="1:10" ht="15.75" x14ac:dyDescent="0.2">
      <c r="A122" s="297"/>
      <c r="B122" s="491"/>
      <c r="C122" s="491"/>
      <c r="D122" s="491"/>
      <c r="F122" s="3"/>
      <c r="H122" s="3"/>
      <c r="I122" s="3"/>
      <c r="J122" s="3"/>
    </row>
    <row r="123" spans="1:10" ht="15.75" x14ac:dyDescent="0.2">
      <c r="A123" s="297"/>
      <c r="B123" s="491"/>
      <c r="C123" s="491"/>
      <c r="D123" s="491"/>
      <c r="F123" s="3"/>
      <c r="H123" s="3"/>
      <c r="I123" s="3"/>
      <c r="J123" s="3"/>
    </row>
    <row r="124" spans="1:10" ht="15.75" x14ac:dyDescent="0.2">
      <c r="A124" s="297"/>
      <c r="B124" s="491"/>
      <c r="C124" s="491"/>
      <c r="D124" s="491"/>
      <c r="F124" s="3"/>
      <c r="H124" s="3"/>
      <c r="I124" s="3"/>
      <c r="J124" s="3"/>
    </row>
    <row r="125" spans="1:10" ht="15.75" x14ac:dyDescent="0.2">
      <c r="A125" s="297"/>
      <c r="B125" s="491"/>
      <c r="C125" s="491"/>
      <c r="D125" s="491"/>
      <c r="F125" s="3"/>
      <c r="H125" s="3"/>
      <c r="I125" s="3"/>
      <c r="J125" s="3"/>
    </row>
    <row r="126" spans="1:10" x14ac:dyDescent="0.2">
      <c r="A126" s="491"/>
      <c r="B126" s="491"/>
      <c r="C126" s="491"/>
      <c r="D126" s="491"/>
      <c r="F126" s="3"/>
      <c r="H126" s="3"/>
      <c r="I126" s="3"/>
      <c r="J126" s="3"/>
    </row>
    <row r="127" spans="1:10" x14ac:dyDescent="0.2">
      <c r="A127" s="491"/>
      <c r="B127" s="491"/>
      <c r="C127" s="491"/>
      <c r="D127" s="491"/>
      <c r="F127" s="3"/>
      <c r="H127" s="3"/>
      <c r="I127" s="3"/>
      <c r="J127" s="3"/>
    </row>
    <row r="128" spans="1:10" x14ac:dyDescent="0.2">
      <c r="A128" s="491"/>
      <c r="B128" s="491"/>
      <c r="C128" s="491"/>
      <c r="D128" s="491"/>
      <c r="F128" s="3"/>
      <c r="H128" s="3"/>
      <c r="I128" s="3"/>
      <c r="J128" s="3"/>
    </row>
    <row r="129" spans="1:10" x14ac:dyDescent="0.2">
      <c r="A129" s="491"/>
      <c r="B129" s="491"/>
      <c r="C129" s="491"/>
      <c r="D129" s="491"/>
      <c r="F129" s="3"/>
      <c r="H129" s="3"/>
      <c r="I129" s="3"/>
      <c r="J129" s="3"/>
    </row>
    <row r="130" spans="1:10" x14ac:dyDescent="0.2">
      <c r="A130" s="491"/>
      <c r="B130" s="491"/>
      <c r="C130" s="491"/>
      <c r="D130" s="491"/>
      <c r="F130" s="3"/>
      <c r="H130" s="3"/>
      <c r="I130" s="3"/>
      <c r="J130" s="3"/>
    </row>
    <row r="131" spans="1:10" x14ac:dyDescent="0.2">
      <c r="A131" s="491"/>
      <c r="B131" s="491"/>
      <c r="C131" s="491"/>
      <c r="D131" s="491"/>
      <c r="F131" s="3"/>
      <c r="H131" s="3"/>
      <c r="I131" s="3"/>
      <c r="J131" s="3"/>
    </row>
    <row r="132" spans="1:10" x14ac:dyDescent="0.2">
      <c r="A132" s="491"/>
      <c r="B132" s="491"/>
      <c r="C132" s="491"/>
      <c r="D132" s="491"/>
      <c r="F132" s="3"/>
      <c r="H132" s="3"/>
      <c r="I132" s="3"/>
      <c r="J132" s="3"/>
    </row>
    <row r="133" spans="1:10" x14ac:dyDescent="0.2">
      <c r="A133" s="491"/>
      <c r="B133" s="491"/>
      <c r="C133" s="491"/>
      <c r="D133" s="491"/>
      <c r="F133" s="3"/>
      <c r="H133" s="3"/>
      <c r="I133" s="3"/>
      <c r="J133" s="3"/>
    </row>
    <row r="134" spans="1:10" x14ac:dyDescent="0.2">
      <c r="F134" s="3"/>
      <c r="H134" s="3"/>
      <c r="I134" s="3"/>
      <c r="J134" s="3"/>
    </row>
    <row r="135" spans="1:10" x14ac:dyDescent="0.2">
      <c r="F135" s="3"/>
      <c r="H135" s="3"/>
      <c r="I135" s="3"/>
      <c r="J135" s="3"/>
    </row>
    <row r="136" spans="1:10" x14ac:dyDescent="0.2">
      <c r="F136" s="3"/>
      <c r="H136" s="3"/>
      <c r="I136" s="3"/>
      <c r="J136" s="3"/>
    </row>
    <row r="137" spans="1:10" x14ac:dyDescent="0.2">
      <c r="F137" s="3"/>
      <c r="H137" s="3"/>
      <c r="I137" s="3"/>
      <c r="J137" s="3"/>
    </row>
    <row r="138" spans="1:10" x14ac:dyDescent="0.2">
      <c r="F138" s="3"/>
      <c r="H138" s="3"/>
      <c r="I138" s="3"/>
      <c r="J138" s="3"/>
    </row>
    <row r="139" spans="1:10" x14ac:dyDescent="0.2">
      <c r="F139" s="3"/>
      <c r="H139" s="3"/>
      <c r="I139" s="3"/>
      <c r="J139" s="3"/>
    </row>
    <row r="140" spans="1:10" x14ac:dyDescent="0.2">
      <c r="F140" s="3"/>
      <c r="H140" s="3"/>
      <c r="I140" s="3"/>
      <c r="J140" s="3"/>
    </row>
    <row r="141" spans="1:10" x14ac:dyDescent="0.2">
      <c r="F141" s="3"/>
      <c r="H141" s="3"/>
      <c r="I141" s="3"/>
      <c r="J141" s="3"/>
    </row>
    <row r="142" spans="1:10" x14ac:dyDescent="0.2">
      <c r="F142" s="3"/>
      <c r="H142" s="3"/>
      <c r="I142" s="3"/>
      <c r="J142" s="3"/>
    </row>
    <row r="143" spans="1:10" x14ac:dyDescent="0.2">
      <c r="F143" s="3"/>
      <c r="H143" s="3"/>
      <c r="I143" s="3"/>
      <c r="J143" s="3"/>
    </row>
    <row r="144" spans="1:10" x14ac:dyDescent="0.2">
      <c r="F144" s="3"/>
      <c r="H144" s="3"/>
      <c r="I144" s="3"/>
      <c r="J144" s="3"/>
    </row>
    <row r="145" spans="6:10" x14ac:dyDescent="0.2">
      <c r="F145" s="3"/>
      <c r="H145" s="3"/>
      <c r="I145" s="3"/>
      <c r="J145" s="3"/>
    </row>
    <row r="146" spans="6:10" x14ac:dyDescent="0.2">
      <c r="F146" s="3"/>
      <c r="H146" s="3"/>
      <c r="I146" s="3"/>
      <c r="J146" s="3"/>
    </row>
    <row r="147" spans="6:10" x14ac:dyDescent="0.2">
      <c r="F147" s="3"/>
      <c r="H147" s="3"/>
      <c r="I147" s="3"/>
      <c r="J147" s="3"/>
    </row>
    <row r="148" spans="6:10" x14ac:dyDescent="0.2">
      <c r="F148" s="3"/>
      <c r="H148" s="3"/>
      <c r="I148" s="3"/>
      <c r="J148" s="3"/>
    </row>
    <row r="149" spans="6:10" x14ac:dyDescent="0.2">
      <c r="H149" s="3"/>
      <c r="I149" s="3"/>
    </row>
    <row r="150" spans="6:10" x14ac:dyDescent="0.2">
      <c r="H150" s="3"/>
      <c r="I150" s="3"/>
    </row>
    <row r="151" spans="6:10" x14ac:dyDescent="0.2">
      <c r="H151" s="3"/>
      <c r="I151" s="3"/>
    </row>
    <row r="152" spans="6:10" x14ac:dyDescent="0.2">
      <c r="H152" s="3"/>
      <c r="I152" s="3"/>
    </row>
    <row r="153" spans="6:10" x14ac:dyDescent="0.2">
      <c r="H153" s="3"/>
      <c r="I153" s="3"/>
    </row>
    <row r="154" spans="6:10" x14ac:dyDescent="0.2">
      <c r="H154" s="3"/>
      <c r="I154" s="3"/>
    </row>
    <row r="155" spans="6:10" x14ac:dyDescent="0.2">
      <c r="H155" s="3"/>
      <c r="I155" s="3"/>
    </row>
    <row r="156" spans="6:10" x14ac:dyDescent="0.2">
      <c r="H156" s="3"/>
      <c r="I156" s="3"/>
    </row>
    <row r="157" spans="6:10" x14ac:dyDescent="0.2">
      <c r="H157" s="3"/>
      <c r="I157" s="3"/>
    </row>
    <row r="158" spans="6:10" x14ac:dyDescent="0.2">
      <c r="H158" s="3"/>
      <c r="I158" s="3"/>
    </row>
    <row r="159" spans="6:10" x14ac:dyDescent="0.2">
      <c r="H159" s="3"/>
      <c r="I159" s="3"/>
    </row>
    <row r="160" spans="6:10" x14ac:dyDescent="0.2">
      <c r="H160" s="3"/>
      <c r="I160" s="3"/>
    </row>
    <row r="161" spans="8:9" x14ac:dyDescent="0.2">
      <c r="H161" s="3"/>
      <c r="I161" s="3"/>
    </row>
    <row r="162" spans="8:9" x14ac:dyDescent="0.2">
      <c r="I162" s="413"/>
    </row>
    <row r="163" spans="8:9" x14ac:dyDescent="0.2">
      <c r="I163" s="413"/>
    </row>
    <row r="164" spans="8:9" x14ac:dyDescent="0.2">
      <c r="I164" s="413"/>
    </row>
    <row r="165" spans="8:9" x14ac:dyDescent="0.2">
      <c r="I165" s="413"/>
    </row>
    <row r="166" spans="8:9" x14ac:dyDescent="0.2">
      <c r="I166" s="413"/>
    </row>
    <row r="167" spans="8:9" x14ac:dyDescent="0.2">
      <c r="I167" s="413"/>
    </row>
    <row r="168" spans="8:9" x14ac:dyDescent="0.2">
      <c r="I168" s="413"/>
    </row>
    <row r="169" spans="8:9" x14ac:dyDescent="0.2">
      <c r="I169" s="413"/>
    </row>
    <row r="170" spans="8:9" x14ac:dyDescent="0.2">
      <c r="I170" s="413"/>
    </row>
    <row r="171" spans="8:9" x14ac:dyDescent="0.2">
      <c r="I171" s="413"/>
    </row>
    <row r="172" spans="8:9" x14ac:dyDescent="0.2">
      <c r="I172" s="413"/>
    </row>
    <row r="173" spans="8:9" x14ac:dyDescent="0.2">
      <c r="I173" s="413"/>
    </row>
    <row r="174" spans="8:9" x14ac:dyDescent="0.2">
      <c r="I174" s="413"/>
    </row>
    <row r="175" spans="8:9" x14ac:dyDescent="0.2">
      <c r="I175" s="413"/>
    </row>
    <row r="176" spans="8:9" x14ac:dyDescent="0.2">
      <c r="I176" s="413"/>
    </row>
    <row r="177" spans="9:9" x14ac:dyDescent="0.2">
      <c r="I177" s="413"/>
    </row>
    <row r="178" spans="9:9" x14ac:dyDescent="0.2">
      <c r="I178" s="413"/>
    </row>
    <row r="179" spans="9:9" x14ac:dyDescent="0.2">
      <c r="I179" s="413"/>
    </row>
    <row r="180" spans="9:9" x14ac:dyDescent="0.2">
      <c r="I180" s="413"/>
    </row>
    <row r="181" spans="9:9" x14ac:dyDescent="0.2">
      <c r="I181" s="413"/>
    </row>
    <row r="182" spans="9:9" x14ac:dyDescent="0.2">
      <c r="I182" s="413"/>
    </row>
    <row r="183" spans="9:9" x14ac:dyDescent="0.2">
      <c r="I183" s="413"/>
    </row>
    <row r="184" spans="9:9" x14ac:dyDescent="0.2">
      <c r="I184" s="413"/>
    </row>
    <row r="185" spans="9:9" x14ac:dyDescent="0.2">
      <c r="I185" s="413"/>
    </row>
    <row r="186" spans="9:9" x14ac:dyDescent="0.2">
      <c r="I186" s="413"/>
    </row>
    <row r="187" spans="9:9" x14ac:dyDescent="0.2">
      <c r="I187" s="413"/>
    </row>
    <row r="188" spans="9:9" x14ac:dyDescent="0.2">
      <c r="I188" s="413"/>
    </row>
    <row r="189" spans="9:9" x14ac:dyDescent="0.2">
      <c r="I189" s="413"/>
    </row>
    <row r="190" spans="9:9" x14ac:dyDescent="0.2">
      <c r="I190" s="413"/>
    </row>
    <row r="191" spans="9:9" x14ac:dyDescent="0.2">
      <c r="I191" s="413"/>
    </row>
    <row r="192" spans="9:9" x14ac:dyDescent="0.2">
      <c r="I192" s="413"/>
    </row>
    <row r="193" spans="9:9" x14ac:dyDescent="0.2">
      <c r="I193" s="413"/>
    </row>
    <row r="194" spans="9:9" x14ac:dyDescent="0.2">
      <c r="I194" s="413"/>
    </row>
    <row r="195" spans="9:9" x14ac:dyDescent="0.2">
      <c r="I195" s="413"/>
    </row>
    <row r="196" spans="9:9" x14ac:dyDescent="0.2">
      <c r="I196" s="413"/>
    </row>
    <row r="197" spans="9:9" x14ac:dyDescent="0.2">
      <c r="I197" s="413"/>
    </row>
    <row r="198" spans="9:9" x14ac:dyDescent="0.2">
      <c r="I198" s="413"/>
    </row>
    <row r="199" spans="9:9" x14ac:dyDescent="0.2">
      <c r="I199" s="413"/>
    </row>
    <row r="200" spans="9:9" x14ac:dyDescent="0.2">
      <c r="I200" s="413"/>
    </row>
    <row r="201" spans="9:9" x14ac:dyDescent="0.2">
      <c r="I201" s="413"/>
    </row>
    <row r="202" spans="9:9" x14ac:dyDescent="0.2">
      <c r="I202" s="413"/>
    </row>
    <row r="203" spans="9:9" x14ac:dyDescent="0.2">
      <c r="I203" s="413"/>
    </row>
    <row r="204" spans="9:9" x14ac:dyDescent="0.2">
      <c r="I204" s="413"/>
    </row>
    <row r="205" spans="9:9" x14ac:dyDescent="0.2">
      <c r="I205" s="413"/>
    </row>
    <row r="206" spans="9:9" x14ac:dyDescent="0.2">
      <c r="I206" s="413"/>
    </row>
    <row r="207" spans="9:9" x14ac:dyDescent="0.2">
      <c r="I207" s="413"/>
    </row>
    <row r="208" spans="9:9" x14ac:dyDescent="0.2">
      <c r="I208" s="413"/>
    </row>
    <row r="209" spans="9:9" x14ac:dyDescent="0.2">
      <c r="I209" s="413"/>
    </row>
    <row r="210" spans="9:9" x14ac:dyDescent="0.2">
      <c r="I210" s="413"/>
    </row>
    <row r="211" spans="9:9" x14ac:dyDescent="0.2">
      <c r="I211" s="413"/>
    </row>
    <row r="212" spans="9:9" x14ac:dyDescent="0.2">
      <c r="I212" s="413"/>
    </row>
    <row r="213" spans="9:9" x14ac:dyDescent="0.2">
      <c r="I213" s="413"/>
    </row>
    <row r="214" spans="9:9" x14ac:dyDescent="0.2">
      <c r="I214" s="413"/>
    </row>
    <row r="215" spans="9:9" x14ac:dyDescent="0.2">
      <c r="I215" s="413"/>
    </row>
    <row r="216" spans="9:9" x14ac:dyDescent="0.2">
      <c r="I216" s="413"/>
    </row>
    <row r="217" spans="9:9" x14ac:dyDescent="0.2">
      <c r="I217" s="413"/>
    </row>
    <row r="218" spans="9:9" x14ac:dyDescent="0.2">
      <c r="I218" s="413"/>
    </row>
    <row r="219" spans="9:9" x14ac:dyDescent="0.2">
      <c r="I219" s="413"/>
    </row>
    <row r="220" spans="9:9" x14ac:dyDescent="0.2">
      <c r="I220" s="413"/>
    </row>
    <row r="221" spans="9:9" x14ac:dyDescent="0.2">
      <c r="I221" s="413"/>
    </row>
    <row r="222" spans="9:9" x14ac:dyDescent="0.2">
      <c r="I222" s="413"/>
    </row>
    <row r="223" spans="9:9" x14ac:dyDescent="0.2">
      <c r="I223" s="413"/>
    </row>
    <row r="224" spans="9:9" x14ac:dyDescent="0.2">
      <c r="I224" s="413"/>
    </row>
    <row r="225" spans="9:9" x14ac:dyDescent="0.2">
      <c r="I225" s="413"/>
    </row>
    <row r="226" spans="9:9" x14ac:dyDescent="0.2">
      <c r="I226" s="413"/>
    </row>
    <row r="227" spans="9:9" x14ac:dyDescent="0.2">
      <c r="I227" s="413"/>
    </row>
    <row r="228" spans="9:9" x14ac:dyDescent="0.2">
      <c r="I228" s="413"/>
    </row>
    <row r="229" spans="9:9" x14ac:dyDescent="0.2">
      <c r="I229" s="413"/>
    </row>
    <row r="230" spans="9:9" x14ac:dyDescent="0.2">
      <c r="I230" s="413"/>
    </row>
    <row r="231" spans="9:9" x14ac:dyDescent="0.2">
      <c r="I231" s="413"/>
    </row>
    <row r="232" spans="9:9" x14ac:dyDescent="0.2">
      <c r="I232" s="413"/>
    </row>
    <row r="233" spans="9:9" x14ac:dyDescent="0.2">
      <c r="I233" s="413"/>
    </row>
    <row r="234" spans="9:9" x14ac:dyDescent="0.2">
      <c r="I234" s="413"/>
    </row>
    <row r="235" spans="9:9" x14ac:dyDescent="0.2">
      <c r="I235" s="413"/>
    </row>
    <row r="236" spans="9:9" x14ac:dyDescent="0.2">
      <c r="I236" s="413"/>
    </row>
    <row r="237" spans="9:9" x14ac:dyDescent="0.2">
      <c r="I237" s="413"/>
    </row>
    <row r="238" spans="9:9" x14ac:dyDescent="0.2">
      <c r="I238" s="413"/>
    </row>
    <row r="239" spans="9:9" x14ac:dyDescent="0.2">
      <c r="I239" s="413"/>
    </row>
    <row r="240" spans="9:9" x14ac:dyDescent="0.2">
      <c r="I240" s="413"/>
    </row>
    <row r="241" spans="9:9" x14ac:dyDescent="0.2">
      <c r="I241" s="413"/>
    </row>
    <row r="242" spans="9:9" x14ac:dyDescent="0.2">
      <c r="I242" s="413"/>
    </row>
    <row r="243" spans="9:9" x14ac:dyDescent="0.2">
      <c r="I243" s="413"/>
    </row>
    <row r="244" spans="9:9" x14ac:dyDescent="0.2">
      <c r="I244" s="413"/>
    </row>
    <row r="245" spans="9:9" x14ac:dyDescent="0.2">
      <c r="I245" s="413"/>
    </row>
  </sheetData>
  <mergeCells count="1">
    <mergeCell ref="A1:J1"/>
  </mergeCells>
  <phoneticPr fontId="0" type="noConversion"/>
  <printOptions gridLines="1"/>
  <pageMargins left="0.75" right="0.16" top="0.51" bottom="0.22" header="0.5" footer="0"/>
  <pageSetup scale="77" fitToHeight="16" orientation="landscape" r:id="rId1"/>
  <headerFooter alignWithMargins="0"/>
  <rowBreaks count="1" manualBreakCount="1">
    <brk id="70" max="9"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view="pageBreakPreview" zoomScaleNormal="100" zoomScaleSheetLayoutView="100" workbookViewId="0">
      <pane ySplit="4" topLeftCell="A5" activePane="bottomLeft" state="frozen"/>
      <selection activeCell="D43" sqref="D43"/>
      <selection pane="bottomLeft" activeCell="J6" sqref="J6"/>
    </sheetView>
  </sheetViews>
  <sheetFormatPr defaultColWidth="8.85546875" defaultRowHeight="12.75" x14ac:dyDescent="0.2"/>
  <cols>
    <col min="1" max="1" width="44.42578125" style="10" customWidth="1"/>
    <col min="2" max="3" width="9" style="10" bestFit="1" customWidth="1"/>
    <col min="4" max="4" width="11.7109375" style="10" bestFit="1" customWidth="1"/>
    <col min="5" max="7" width="10.85546875" style="10" customWidth="1"/>
    <col min="8" max="8" width="14.28515625" style="10" customWidth="1"/>
    <col min="9" max="10" width="10.85546875" style="10" customWidth="1"/>
    <col min="11" max="11" width="14.28515625" style="10" customWidth="1"/>
    <col min="12" max="16384" width="8.85546875" style="10"/>
  </cols>
  <sheetData>
    <row r="1" spans="1:10" x14ac:dyDescent="0.2">
      <c r="A1" s="562" t="str">
        <f>'SUMMARY BY FUND'!A1:J1</f>
        <v>2023-24 BUDGET</v>
      </c>
      <c r="B1" s="563"/>
      <c r="C1" s="563"/>
      <c r="D1" s="563"/>
      <c r="E1" s="563"/>
      <c r="F1" s="563"/>
      <c r="G1" s="563"/>
      <c r="H1" s="563"/>
      <c r="I1" s="563"/>
      <c r="J1" s="563"/>
    </row>
    <row r="2" spans="1:10" ht="18.75" x14ac:dyDescent="0.3">
      <c r="A2" s="202" t="s">
        <v>1890</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19" t="s">
        <v>2163</v>
      </c>
      <c r="F4" s="419" t="s">
        <v>2290</v>
      </c>
      <c r="G4" s="419" t="s">
        <v>2507</v>
      </c>
      <c r="H4" s="419" t="s">
        <v>2507</v>
      </c>
      <c r="I4" s="419" t="s">
        <v>2507</v>
      </c>
      <c r="J4" s="419" t="s">
        <v>2507</v>
      </c>
    </row>
    <row r="6" spans="1:10" ht="15" x14ac:dyDescent="0.35">
      <c r="A6" s="13" t="s">
        <v>1751</v>
      </c>
      <c r="B6" s="446" t="s">
        <v>2163</v>
      </c>
      <c r="C6" s="446" t="s">
        <v>2290</v>
      </c>
      <c r="D6" s="299" t="s">
        <v>2507</v>
      </c>
      <c r="E6" s="3">
        <v>111214</v>
      </c>
      <c r="F6" s="3">
        <v>107718</v>
      </c>
      <c r="G6" s="3">
        <v>112000</v>
      </c>
      <c r="H6" s="3">
        <v>112000</v>
      </c>
      <c r="I6" s="3">
        <v>112000</v>
      </c>
      <c r="J6" s="3"/>
    </row>
    <row r="7" spans="1:10" x14ac:dyDescent="0.2">
      <c r="A7" s="10" t="s">
        <v>851</v>
      </c>
      <c r="B7" s="3" t="s">
        <v>418</v>
      </c>
      <c r="C7" s="3" t="s">
        <v>418</v>
      </c>
      <c r="D7" s="3" t="s">
        <v>418</v>
      </c>
      <c r="F7" s="229"/>
      <c r="H7" s="237"/>
      <c r="I7" s="557"/>
      <c r="J7" s="557"/>
    </row>
    <row r="8" spans="1:10" x14ac:dyDescent="0.2">
      <c r="A8" s="10" t="s">
        <v>679</v>
      </c>
      <c r="B8" s="3">
        <v>102589</v>
      </c>
      <c r="C8" s="3">
        <v>107718</v>
      </c>
      <c r="D8" s="3">
        <v>112000</v>
      </c>
      <c r="F8" s="229"/>
      <c r="H8" s="237"/>
      <c r="I8" s="557"/>
      <c r="J8" s="557"/>
    </row>
    <row r="9" spans="1:10" x14ac:dyDescent="0.2">
      <c r="F9" s="229"/>
      <c r="H9" s="237"/>
      <c r="I9" s="557"/>
      <c r="J9" s="557"/>
    </row>
    <row r="10" spans="1:10" ht="15" x14ac:dyDescent="0.35">
      <c r="E10" s="14">
        <v>0</v>
      </c>
      <c r="F10" s="14">
        <v>0</v>
      </c>
      <c r="G10" s="14">
        <v>0</v>
      </c>
      <c r="H10" s="14">
        <v>0</v>
      </c>
      <c r="I10" s="14">
        <v>0</v>
      </c>
      <c r="J10" s="14">
        <v>0</v>
      </c>
    </row>
    <row r="11" spans="1:10" x14ac:dyDescent="0.2">
      <c r="E11" s="3"/>
      <c r="H11" s="237"/>
      <c r="J11" s="298"/>
    </row>
    <row r="12" spans="1:10" x14ac:dyDescent="0.2">
      <c r="A12" s="23" t="s">
        <v>1405</v>
      </c>
      <c r="D12" s="3"/>
      <c r="E12" s="3">
        <f t="shared" ref="E12:J12" si="0">SUM(E6:E11)</f>
        <v>111214</v>
      </c>
      <c r="F12" s="3">
        <f t="shared" si="0"/>
        <v>107718</v>
      </c>
      <c r="G12" s="3">
        <f t="shared" si="0"/>
        <v>112000</v>
      </c>
      <c r="H12" s="3">
        <f t="shared" si="0"/>
        <v>112000</v>
      </c>
      <c r="I12" s="3">
        <f t="shared" si="0"/>
        <v>112000</v>
      </c>
      <c r="J12" s="3">
        <f t="shared" si="0"/>
        <v>0</v>
      </c>
    </row>
    <row r="13" spans="1:10" x14ac:dyDescent="0.2">
      <c r="H13" s="237"/>
      <c r="J13" s="298"/>
    </row>
    <row r="14" spans="1:10" x14ac:dyDescent="0.2">
      <c r="H14" s="237"/>
      <c r="J14" s="298"/>
    </row>
    <row r="15" spans="1:10" x14ac:dyDescent="0.2">
      <c r="A15" s="10" t="s">
        <v>628</v>
      </c>
      <c r="E15" s="3">
        <v>0</v>
      </c>
      <c r="F15" s="3">
        <v>0</v>
      </c>
      <c r="G15" s="3">
        <v>0</v>
      </c>
      <c r="H15" s="3">
        <v>0</v>
      </c>
      <c r="I15" s="3">
        <v>0</v>
      </c>
      <c r="J15" s="3">
        <v>0</v>
      </c>
    </row>
    <row r="16" spans="1:10" x14ac:dyDescent="0.2">
      <c r="A16" s="10" t="s">
        <v>1024</v>
      </c>
      <c r="E16" s="3">
        <f t="shared" ref="E16:J16" si="1">+E6</f>
        <v>111214</v>
      </c>
      <c r="F16" s="3">
        <f t="shared" si="1"/>
        <v>107718</v>
      </c>
      <c r="G16" s="3">
        <f t="shared" si="1"/>
        <v>112000</v>
      </c>
      <c r="H16" s="3">
        <f t="shared" si="1"/>
        <v>112000</v>
      </c>
      <c r="I16" s="3">
        <f t="shared" si="1"/>
        <v>112000</v>
      </c>
      <c r="J16" s="3">
        <f t="shared" si="1"/>
        <v>0</v>
      </c>
    </row>
    <row r="17" spans="1:10" ht="15" x14ac:dyDescent="0.35">
      <c r="A17" s="10" t="s">
        <v>1025</v>
      </c>
      <c r="E17" s="14">
        <v>0</v>
      </c>
      <c r="F17" s="14">
        <v>0</v>
      </c>
      <c r="G17" s="14">
        <v>0</v>
      </c>
      <c r="H17" s="14">
        <v>0</v>
      </c>
      <c r="I17" s="14">
        <v>0</v>
      </c>
      <c r="J17" s="14">
        <v>0</v>
      </c>
    </row>
    <row r="18" spans="1:10" x14ac:dyDescent="0.2">
      <c r="A18" s="10" t="s">
        <v>1320</v>
      </c>
      <c r="E18" s="1">
        <f t="shared" ref="E18:J18" si="2">SUM(E15:E17)</f>
        <v>111214</v>
      </c>
      <c r="F18" s="1">
        <f t="shared" si="2"/>
        <v>107718</v>
      </c>
      <c r="G18" s="1">
        <f t="shared" si="2"/>
        <v>112000</v>
      </c>
      <c r="H18" s="3">
        <f t="shared" si="2"/>
        <v>112000</v>
      </c>
      <c r="I18" s="3">
        <f t="shared" si="2"/>
        <v>112000</v>
      </c>
      <c r="J18" s="3">
        <f t="shared" si="2"/>
        <v>0</v>
      </c>
    </row>
    <row r="22" spans="1:10" x14ac:dyDescent="0.2">
      <c r="H22" s="3"/>
    </row>
    <row r="23" spans="1:10" x14ac:dyDescent="0.2">
      <c r="H23" s="15"/>
    </row>
  </sheetData>
  <mergeCells count="1">
    <mergeCell ref="A1:J1"/>
  </mergeCells>
  <phoneticPr fontId="8" type="noConversion"/>
  <printOptions gridLines="1"/>
  <pageMargins left="0.75" right="0.16" top="0.51" bottom="0.16" header="0.5" footer="0"/>
  <pageSetup scale="8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3"/>
  <sheetViews>
    <sheetView view="pageBreakPreview" zoomScaleNormal="100" zoomScaleSheetLayoutView="100" workbookViewId="0">
      <pane ySplit="4" topLeftCell="A5" activePane="bottomLeft" state="frozen"/>
      <selection activeCell="D43" sqref="D43"/>
      <selection pane="bottomLeft" activeCell="J11" sqref="J11"/>
    </sheetView>
  </sheetViews>
  <sheetFormatPr defaultColWidth="8.85546875" defaultRowHeight="12.75" x14ac:dyDescent="0.2"/>
  <cols>
    <col min="1" max="1" width="44.42578125" style="246" customWidth="1"/>
    <col min="2" max="3" width="10.28515625" style="246" bestFit="1" customWidth="1"/>
    <col min="4" max="4" width="12" style="246" bestFit="1" customWidth="1"/>
    <col min="5" max="5" width="10.85546875" style="246" customWidth="1"/>
    <col min="6" max="6" width="11.28515625" style="246" bestFit="1" customWidth="1"/>
    <col min="7" max="7" width="10.85546875" style="246" customWidth="1"/>
    <col min="8" max="8" width="14.28515625" style="246" customWidth="1"/>
    <col min="9" max="9" width="10.85546875" style="246" customWidth="1"/>
    <col min="10" max="10" width="12" style="246" bestFit="1" customWidth="1"/>
    <col min="11" max="12" width="14.28515625" style="246" customWidth="1"/>
    <col min="13" max="16384" width="8.85546875" style="246"/>
  </cols>
  <sheetData>
    <row r="1" spans="1:10" x14ac:dyDescent="0.2">
      <c r="A1" s="562" t="str">
        <f>'SUMMARY BY FUND'!A1:J1</f>
        <v>2023-24 BUDGET</v>
      </c>
      <c r="B1" s="563"/>
      <c r="C1" s="563"/>
      <c r="D1" s="563"/>
      <c r="E1" s="563"/>
      <c r="F1" s="563"/>
      <c r="G1" s="563"/>
      <c r="H1" s="563"/>
      <c r="I1" s="563"/>
      <c r="J1" s="563"/>
    </row>
    <row r="2" spans="1:10" ht="18.75" x14ac:dyDescent="0.3">
      <c r="A2" s="202" t="s">
        <v>2076</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19" t="s">
        <v>2163</v>
      </c>
      <c r="F4" s="419" t="s">
        <v>2290</v>
      </c>
      <c r="G4" s="419" t="s">
        <v>2507</v>
      </c>
      <c r="H4" s="419" t="s">
        <v>2507</v>
      </c>
      <c r="I4" s="419" t="s">
        <v>2507</v>
      </c>
      <c r="J4" s="419" t="s">
        <v>2507</v>
      </c>
    </row>
    <row r="6" spans="1:10" ht="15" x14ac:dyDescent="0.35">
      <c r="A6" s="247" t="s">
        <v>2077</v>
      </c>
      <c r="B6" s="446" t="s">
        <v>2163</v>
      </c>
      <c r="C6" s="446" t="s">
        <v>2290</v>
      </c>
      <c r="D6" s="299" t="s">
        <v>2507</v>
      </c>
      <c r="E6" s="3"/>
      <c r="F6" s="3"/>
      <c r="G6" s="3">
        <v>0</v>
      </c>
      <c r="H6" s="3">
        <v>0</v>
      </c>
      <c r="I6" s="3">
        <v>0</v>
      </c>
      <c r="J6" s="3">
        <v>0</v>
      </c>
    </row>
    <row r="7" spans="1:10" x14ac:dyDescent="0.2">
      <c r="B7" s="3" t="s">
        <v>418</v>
      </c>
      <c r="C7" s="3" t="s">
        <v>418</v>
      </c>
      <c r="D7" s="3" t="s">
        <v>418</v>
      </c>
    </row>
    <row r="8" spans="1:10" x14ac:dyDescent="0.2">
      <c r="A8" s="209" t="s">
        <v>2083</v>
      </c>
      <c r="B8" s="3">
        <v>0</v>
      </c>
      <c r="C8" s="3">
        <v>0</v>
      </c>
      <c r="D8" s="3">
        <v>0</v>
      </c>
      <c r="E8" s="230"/>
      <c r="F8" s="3"/>
      <c r="G8" s="3">
        <v>0</v>
      </c>
      <c r="H8" s="3">
        <v>0</v>
      </c>
      <c r="I8" s="3">
        <v>0</v>
      </c>
      <c r="J8" s="3">
        <v>0</v>
      </c>
    </row>
    <row r="9" spans="1:10" x14ac:dyDescent="0.2">
      <c r="A9" s="415" t="s">
        <v>2503</v>
      </c>
      <c r="B9" s="445"/>
      <c r="C9" s="230">
        <v>10102750</v>
      </c>
      <c r="D9" s="230">
        <v>10102750</v>
      </c>
      <c r="E9" s="230">
        <v>7001133</v>
      </c>
      <c r="F9" s="230">
        <v>10102750</v>
      </c>
      <c r="J9" s="230"/>
    </row>
    <row r="10" spans="1:10" ht="15" x14ac:dyDescent="0.35">
      <c r="E10" s="14">
        <v>0</v>
      </c>
      <c r="F10" s="14">
        <v>0</v>
      </c>
      <c r="G10" s="14">
        <v>0</v>
      </c>
      <c r="H10" s="14">
        <v>0</v>
      </c>
      <c r="I10" s="14">
        <v>0</v>
      </c>
      <c r="J10" s="14">
        <v>0</v>
      </c>
    </row>
    <row r="11" spans="1:10" x14ac:dyDescent="0.2">
      <c r="E11" s="3"/>
      <c r="J11" s="298"/>
    </row>
    <row r="12" spans="1:10" x14ac:dyDescent="0.2">
      <c r="A12" s="23" t="s">
        <v>1405</v>
      </c>
      <c r="D12" s="3"/>
      <c r="E12" s="3">
        <f t="shared" ref="E12:J12" si="0">SUM(E6:E11)</f>
        <v>7001133</v>
      </c>
      <c r="F12" s="3">
        <f t="shared" si="0"/>
        <v>10102750</v>
      </c>
      <c r="G12" s="3">
        <f t="shared" si="0"/>
        <v>0</v>
      </c>
      <c r="H12" s="3">
        <f t="shared" si="0"/>
        <v>0</v>
      </c>
      <c r="I12" s="3">
        <f t="shared" si="0"/>
        <v>0</v>
      </c>
      <c r="J12" s="3">
        <f t="shared" si="0"/>
        <v>0</v>
      </c>
    </row>
    <row r="15" spans="1:10" x14ac:dyDescent="0.2">
      <c r="A15" s="246" t="s">
        <v>628</v>
      </c>
      <c r="E15" s="3">
        <v>0</v>
      </c>
      <c r="F15" s="3">
        <v>0</v>
      </c>
      <c r="G15" s="3">
        <v>0</v>
      </c>
      <c r="H15" s="3">
        <v>0</v>
      </c>
      <c r="I15" s="3">
        <v>0</v>
      </c>
      <c r="J15" s="3">
        <v>0</v>
      </c>
    </row>
    <row r="16" spans="1:10" x14ac:dyDescent="0.2">
      <c r="A16" s="246" t="s">
        <v>1024</v>
      </c>
      <c r="E16" s="3">
        <v>0</v>
      </c>
      <c r="F16" s="3">
        <v>0</v>
      </c>
      <c r="G16" s="3">
        <f>+G6</f>
        <v>0</v>
      </c>
      <c r="H16" s="3">
        <f>+H6</f>
        <v>0</v>
      </c>
      <c r="I16" s="3">
        <f>+I6</f>
        <v>0</v>
      </c>
      <c r="J16" s="3">
        <v>0</v>
      </c>
    </row>
    <row r="17" spans="1:10" ht="15" x14ac:dyDescent="0.35">
      <c r="A17" s="246" t="s">
        <v>1025</v>
      </c>
      <c r="E17" s="14">
        <f>E12</f>
        <v>7001133</v>
      </c>
      <c r="F17" s="14">
        <f>+F12</f>
        <v>10102750</v>
      </c>
      <c r="G17" s="14">
        <f>+G12</f>
        <v>0</v>
      </c>
      <c r="H17" s="14">
        <f>+H12</f>
        <v>0</v>
      </c>
      <c r="I17" s="14">
        <v>0</v>
      </c>
      <c r="J17" s="14">
        <f>+J12</f>
        <v>0</v>
      </c>
    </row>
    <row r="18" spans="1:10" x14ac:dyDescent="0.2">
      <c r="A18" s="246" t="s">
        <v>1320</v>
      </c>
      <c r="E18" s="1">
        <f t="shared" ref="E18:J18" si="1">SUM(E15:E17)</f>
        <v>7001133</v>
      </c>
      <c r="F18" s="1">
        <f t="shared" si="1"/>
        <v>10102750</v>
      </c>
      <c r="G18" s="3">
        <f>SUM(G15:G17)</f>
        <v>0</v>
      </c>
      <c r="H18" s="3">
        <f>SUM(H15:H17)</f>
        <v>0</v>
      </c>
      <c r="I18" s="3">
        <f t="shared" si="1"/>
        <v>0</v>
      </c>
      <c r="J18" s="3">
        <f t="shared" si="1"/>
        <v>0</v>
      </c>
    </row>
    <row r="22" spans="1:10" x14ac:dyDescent="0.2">
      <c r="H22" s="3"/>
    </row>
    <row r="23" spans="1:10" x14ac:dyDescent="0.2">
      <c r="H23" s="15"/>
    </row>
  </sheetData>
  <mergeCells count="1">
    <mergeCell ref="A1:J1"/>
  </mergeCells>
  <printOptions gridLines="1"/>
  <pageMargins left="0.75" right="0.16" top="0.51" bottom="0.16" header="0.5" footer="0"/>
  <pageSetup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51"/>
  <sheetViews>
    <sheetView view="pageBreakPreview" zoomScale="125" zoomScaleNormal="100" zoomScaleSheetLayoutView="125" workbookViewId="0">
      <selection activeCell="C27" sqref="C27"/>
    </sheetView>
  </sheetViews>
  <sheetFormatPr defaultColWidth="8.85546875" defaultRowHeight="12.75" x14ac:dyDescent="0.2"/>
  <cols>
    <col min="1" max="1" width="44.42578125" style="6" customWidth="1"/>
    <col min="2" max="2" width="18.28515625" style="6" bestFit="1" customWidth="1"/>
    <col min="3" max="3" width="18.28515625" style="6" customWidth="1"/>
    <col min="4" max="4" width="7" style="6" customWidth="1"/>
    <col min="5" max="5" width="14.7109375" style="405" bestFit="1" customWidth="1"/>
    <col min="6" max="7" width="8.85546875" style="6" customWidth="1"/>
    <col min="8" max="8" width="14.42578125" style="6" bestFit="1" customWidth="1"/>
    <col min="9" max="16384" width="8.85546875" style="6"/>
  </cols>
  <sheetData>
    <row r="1" spans="1:9" x14ac:dyDescent="0.2">
      <c r="A1" s="560" t="s">
        <v>2670</v>
      </c>
      <c r="B1" s="560"/>
      <c r="C1" s="560"/>
      <c r="D1" s="5"/>
    </row>
    <row r="2" spans="1:9" x14ac:dyDescent="0.2">
      <c r="A2" s="404"/>
      <c r="B2" s="404"/>
      <c r="C2" s="404"/>
      <c r="D2" s="5"/>
    </row>
    <row r="3" spans="1:9" x14ac:dyDescent="0.2">
      <c r="A3" s="404"/>
      <c r="B3" s="404"/>
      <c r="C3" s="404"/>
    </row>
    <row r="4" spans="1:9" x14ac:dyDescent="0.2">
      <c r="A4" s="81"/>
      <c r="B4" s="82">
        <v>2023</v>
      </c>
      <c r="C4" s="82">
        <v>2022</v>
      </c>
      <c r="D4" s="35"/>
    </row>
    <row r="5" spans="1:9" ht="15" x14ac:dyDescent="0.25">
      <c r="A5" s="81" t="s">
        <v>652</v>
      </c>
      <c r="B5" s="83">
        <f>+'SUMMARY BY FUND'!F52</f>
        <v>2497250</v>
      </c>
      <c r="C5" s="83">
        <f>+'SUMMARY BY FUND'!D52</f>
        <v>2447250</v>
      </c>
      <c r="D5" s="2"/>
      <c r="E5" s="3"/>
      <c r="H5" s="216"/>
      <c r="I5"/>
    </row>
    <row r="6" spans="1:9" ht="15" x14ac:dyDescent="0.25">
      <c r="A6" s="81" t="s">
        <v>653</v>
      </c>
      <c r="B6" s="83">
        <v>-550000</v>
      </c>
      <c r="C6" s="83">
        <v>-500000</v>
      </c>
      <c r="D6" s="2"/>
      <c r="E6" s="3"/>
      <c r="H6" s="216"/>
      <c r="I6"/>
    </row>
    <row r="7" spans="1:9" ht="15" x14ac:dyDescent="0.25">
      <c r="A7" s="81"/>
      <c r="B7" s="83"/>
      <c r="C7" s="83"/>
      <c r="D7" s="2"/>
      <c r="E7" s="3"/>
      <c r="H7" s="216"/>
      <c r="I7"/>
    </row>
    <row r="8" spans="1:9" ht="15" x14ac:dyDescent="0.25">
      <c r="A8" s="81" t="s">
        <v>80</v>
      </c>
      <c r="B8" s="83">
        <v>0</v>
      </c>
      <c r="C8" s="83">
        <v>0</v>
      </c>
      <c r="D8" s="2"/>
      <c r="E8" s="3"/>
      <c r="H8" s="216"/>
      <c r="I8"/>
    </row>
    <row r="9" spans="1:9" x14ac:dyDescent="0.2">
      <c r="A9" s="81" t="s">
        <v>811</v>
      </c>
      <c r="B9" s="83">
        <v>0</v>
      </c>
      <c r="C9" s="83">
        <v>0</v>
      </c>
      <c r="D9" s="2"/>
      <c r="E9" s="3"/>
      <c r="H9"/>
      <c r="I9"/>
    </row>
    <row r="10" spans="1:9" x14ac:dyDescent="0.2">
      <c r="A10" s="81" t="s">
        <v>654</v>
      </c>
      <c r="B10" s="83"/>
      <c r="C10" s="83"/>
      <c r="D10" s="2"/>
      <c r="E10" s="3"/>
      <c r="H10" s="217"/>
      <c r="I10"/>
    </row>
    <row r="11" spans="1:9" ht="15" x14ac:dyDescent="0.25">
      <c r="A11" s="81" t="s">
        <v>655</v>
      </c>
      <c r="B11" s="83">
        <v>0</v>
      </c>
      <c r="C11" s="83">
        <v>0</v>
      </c>
      <c r="D11" s="2"/>
      <c r="E11" s="3"/>
      <c r="H11" s="216"/>
      <c r="I11"/>
    </row>
    <row r="12" spans="1:9" ht="17.25" x14ac:dyDescent="0.4">
      <c r="A12" s="81" t="s">
        <v>1558</v>
      </c>
      <c r="B12" s="361">
        <v>0</v>
      </c>
      <c r="C12" s="361">
        <v>0</v>
      </c>
      <c r="E12" s="3"/>
      <c r="H12" s="218"/>
      <c r="I12"/>
    </row>
    <row r="13" spans="1:9" x14ac:dyDescent="0.2">
      <c r="A13" s="81" t="s">
        <v>302</v>
      </c>
      <c r="B13" s="83">
        <f>SUM(B5:B12)</f>
        <v>1947250</v>
      </c>
      <c r="C13" s="83">
        <f>SUM(C5:C12)</f>
        <v>1947250</v>
      </c>
      <c r="E13" s="3"/>
      <c r="H13" s="217"/>
      <c r="I13" s="219"/>
    </row>
    <row r="14" spans="1:9" x14ac:dyDescent="0.2">
      <c r="A14" s="81"/>
      <c r="B14" s="83"/>
      <c r="C14" s="83"/>
    </row>
    <row r="15" spans="1:9" x14ac:dyDescent="0.2">
      <c r="A15" s="81"/>
      <c r="B15" s="83"/>
      <c r="C15" s="83"/>
    </row>
    <row r="16" spans="1:9" ht="15" x14ac:dyDescent="0.35">
      <c r="A16" s="81" t="s">
        <v>656</v>
      </c>
      <c r="B16" s="360">
        <v>5062905.1679999996</v>
      </c>
      <c r="C16" s="360">
        <v>5038905.1679999996</v>
      </c>
      <c r="D16" s="68"/>
      <c r="E16" s="51">
        <v>132000</v>
      </c>
    </row>
    <row r="17" spans="1:8" x14ac:dyDescent="0.2">
      <c r="A17" s="81"/>
      <c r="B17" s="83"/>
      <c r="C17" s="83"/>
      <c r="H17" s="171"/>
    </row>
    <row r="18" spans="1:8" ht="15" x14ac:dyDescent="0.35">
      <c r="A18" s="81" t="s">
        <v>657</v>
      </c>
      <c r="B18" s="359">
        <f>ROUND(B13/B16,2)+0.01</f>
        <v>0.39</v>
      </c>
      <c r="C18" s="359">
        <f>ROUND(C13/C16,2)</f>
        <v>0.39</v>
      </c>
      <c r="E18" s="15">
        <f>+C18-B18</f>
        <v>0</v>
      </c>
      <c r="H18" s="174"/>
    </row>
    <row r="19" spans="1:8" x14ac:dyDescent="0.2">
      <c r="A19" s="81"/>
      <c r="B19" s="83"/>
      <c r="C19" s="83"/>
      <c r="E19" s="15"/>
      <c r="H19" s="175"/>
    </row>
    <row r="20" spans="1:8" x14ac:dyDescent="0.2">
      <c r="B20" s="25"/>
      <c r="C20" s="25"/>
      <c r="E20" s="86"/>
    </row>
    <row r="21" spans="1:8" x14ac:dyDescent="0.2">
      <c r="B21" s="25"/>
      <c r="C21" s="25"/>
    </row>
    <row r="22" spans="1:8" x14ac:dyDescent="0.2">
      <c r="E22" s="42"/>
    </row>
    <row r="29" spans="1:8" x14ac:dyDescent="0.2">
      <c r="H29" s="6" t="s">
        <v>418</v>
      </c>
    </row>
    <row r="44" spans="4:4" x14ac:dyDescent="0.2">
      <c r="D44" s="25"/>
    </row>
    <row r="46" spans="4:4" x14ac:dyDescent="0.2">
      <c r="D46" s="25"/>
    </row>
    <row r="50" spans="2:3" x14ac:dyDescent="0.2">
      <c r="B50" s="40"/>
      <c r="C50" s="40"/>
    </row>
    <row r="51" spans="2:3" x14ac:dyDescent="0.2">
      <c r="B51" s="40"/>
      <c r="C51" s="40"/>
    </row>
  </sheetData>
  <mergeCells count="1">
    <mergeCell ref="A1:C1"/>
  </mergeCells>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23"/>
  <sheetViews>
    <sheetView view="pageBreakPreview" zoomScaleNormal="100" zoomScaleSheetLayoutView="100" workbookViewId="0">
      <pane ySplit="4" topLeftCell="A5" activePane="bottomLeft" state="frozen"/>
      <selection activeCell="D43" sqref="D43"/>
      <selection pane="bottomLeft" activeCell="H12" sqref="H12"/>
    </sheetView>
  </sheetViews>
  <sheetFormatPr defaultColWidth="8.85546875" defaultRowHeight="12.75" x14ac:dyDescent="0.2"/>
  <cols>
    <col min="1" max="1" width="44.42578125" style="209" customWidth="1"/>
    <col min="2" max="3" width="10.28515625" style="209" bestFit="1" customWidth="1"/>
    <col min="4" max="4" width="11.7109375" style="209" bestFit="1" customWidth="1"/>
    <col min="5" max="7" width="10.85546875" style="209" customWidth="1"/>
    <col min="8" max="8" width="14.28515625" style="209" customWidth="1"/>
    <col min="9" max="9" width="10.85546875" style="209" customWidth="1"/>
    <col min="10" max="10" width="11.28515625" style="209" bestFit="1" customWidth="1"/>
    <col min="11" max="12" width="14.28515625" style="209" customWidth="1"/>
    <col min="13" max="16384" width="8.85546875" style="209"/>
  </cols>
  <sheetData>
    <row r="1" spans="1:10" x14ac:dyDescent="0.2">
      <c r="A1" s="562" t="str">
        <f>'SUMMARY BY FUND'!A1:J1</f>
        <v>2023-24 BUDGET</v>
      </c>
      <c r="B1" s="563"/>
      <c r="C1" s="563"/>
      <c r="D1" s="563"/>
      <c r="E1" s="563"/>
      <c r="F1" s="563"/>
      <c r="G1" s="563"/>
      <c r="H1" s="563"/>
      <c r="I1" s="563"/>
      <c r="J1" s="563"/>
    </row>
    <row r="2" spans="1:10" ht="18.75" x14ac:dyDescent="0.3">
      <c r="A2" s="202" t="s">
        <v>1981</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19" t="s">
        <v>2163</v>
      </c>
      <c r="F4" s="419" t="s">
        <v>2290</v>
      </c>
      <c r="G4" s="419" t="s">
        <v>2507</v>
      </c>
      <c r="H4" s="419" t="s">
        <v>2507</v>
      </c>
      <c r="I4" s="419" t="s">
        <v>2507</v>
      </c>
      <c r="J4" s="419" t="s">
        <v>2507</v>
      </c>
    </row>
    <row r="6" spans="1:10" ht="15" x14ac:dyDescent="0.35">
      <c r="A6" s="210" t="s">
        <v>2010</v>
      </c>
      <c r="B6" s="446" t="s">
        <v>2163</v>
      </c>
      <c r="C6" s="446" t="s">
        <v>2290</v>
      </c>
      <c r="D6" s="299" t="s">
        <v>2507</v>
      </c>
      <c r="E6" s="3"/>
    </row>
    <row r="7" spans="1:10" x14ac:dyDescent="0.2">
      <c r="B7" s="3" t="s">
        <v>418</v>
      </c>
      <c r="C7" s="3" t="s">
        <v>418</v>
      </c>
      <c r="D7" s="3" t="s">
        <v>418</v>
      </c>
      <c r="F7" s="211"/>
    </row>
    <row r="8" spans="1:10" x14ac:dyDescent="0.2">
      <c r="A8" s="246" t="s">
        <v>1919</v>
      </c>
      <c r="B8" s="3">
        <v>0</v>
      </c>
      <c r="C8" s="3">
        <v>0</v>
      </c>
      <c r="D8" s="3">
        <v>0</v>
      </c>
      <c r="E8" s="230">
        <v>0</v>
      </c>
      <c r="F8" s="3">
        <v>0</v>
      </c>
      <c r="G8" s="3">
        <v>0</v>
      </c>
      <c r="H8" s="3">
        <v>0</v>
      </c>
      <c r="I8" s="3">
        <v>0</v>
      </c>
      <c r="J8" s="3">
        <v>0</v>
      </c>
    </row>
    <row r="10" spans="1:10" ht="15" x14ac:dyDescent="0.35">
      <c r="E10" s="14">
        <v>0</v>
      </c>
      <c r="F10" s="14">
        <v>0</v>
      </c>
      <c r="G10" s="14">
        <v>0</v>
      </c>
      <c r="H10" s="14">
        <v>0</v>
      </c>
      <c r="I10" s="14">
        <v>0</v>
      </c>
      <c r="J10" s="14">
        <v>0</v>
      </c>
    </row>
    <row r="11" spans="1:10" x14ac:dyDescent="0.2">
      <c r="E11" s="3"/>
    </row>
    <row r="12" spans="1:10" x14ac:dyDescent="0.2">
      <c r="A12" s="23" t="s">
        <v>1405</v>
      </c>
      <c r="D12" s="3"/>
      <c r="E12" s="3">
        <f>SUM(E6:E11)</f>
        <v>0</v>
      </c>
      <c r="F12" s="3">
        <f>SUM(F7:F11)</f>
        <v>0</v>
      </c>
      <c r="G12" s="3">
        <f>SUM(G7:G11)</f>
        <v>0</v>
      </c>
      <c r="H12" s="3">
        <f>SUM(H7:H11)</f>
        <v>0</v>
      </c>
      <c r="I12" s="3">
        <f>SUM(I7:I11)</f>
        <v>0</v>
      </c>
      <c r="J12" s="3">
        <f>SUM(J7:J11)</f>
        <v>0</v>
      </c>
    </row>
    <row r="15" spans="1:10" x14ac:dyDescent="0.2">
      <c r="A15" s="209" t="s">
        <v>628</v>
      </c>
      <c r="E15" s="3">
        <v>0</v>
      </c>
      <c r="F15" s="3">
        <v>0</v>
      </c>
      <c r="G15" s="3">
        <v>0</v>
      </c>
      <c r="H15" s="3">
        <v>0</v>
      </c>
      <c r="I15" s="3">
        <v>0</v>
      </c>
      <c r="J15" s="3">
        <v>0</v>
      </c>
    </row>
    <row r="16" spans="1:10" x14ac:dyDescent="0.2">
      <c r="A16" s="209" t="s">
        <v>1024</v>
      </c>
      <c r="E16" s="3">
        <v>0</v>
      </c>
      <c r="F16" s="3">
        <f>+F8</f>
        <v>0</v>
      </c>
      <c r="G16" s="3">
        <f>+G8</f>
        <v>0</v>
      </c>
      <c r="H16" s="3">
        <f>+H8</f>
        <v>0</v>
      </c>
      <c r="I16" s="3">
        <f>+I8</f>
        <v>0</v>
      </c>
      <c r="J16" s="3">
        <v>0</v>
      </c>
    </row>
    <row r="17" spans="1:10" ht="15" x14ac:dyDescent="0.35">
      <c r="A17" s="209" t="s">
        <v>1025</v>
      </c>
      <c r="E17" s="14">
        <f>E8</f>
        <v>0</v>
      </c>
      <c r="F17" s="14">
        <v>0</v>
      </c>
      <c r="G17" s="14">
        <v>0</v>
      </c>
      <c r="H17" s="14">
        <v>0</v>
      </c>
      <c r="I17" s="14">
        <v>0</v>
      </c>
      <c r="J17" s="14">
        <f>+J12</f>
        <v>0</v>
      </c>
    </row>
    <row r="18" spans="1:10" x14ac:dyDescent="0.2">
      <c r="A18" s="209" t="s">
        <v>1320</v>
      </c>
      <c r="E18" s="3">
        <f t="shared" ref="E18:J18" si="0">SUM(E15:E17)</f>
        <v>0</v>
      </c>
      <c r="F18" s="3">
        <f t="shared" si="0"/>
        <v>0</v>
      </c>
      <c r="G18" s="3">
        <f t="shared" si="0"/>
        <v>0</v>
      </c>
      <c r="H18" s="3">
        <f t="shared" si="0"/>
        <v>0</v>
      </c>
      <c r="I18" s="3">
        <f t="shared" si="0"/>
        <v>0</v>
      </c>
      <c r="J18" s="3">
        <f t="shared" si="0"/>
        <v>0</v>
      </c>
    </row>
    <row r="22" spans="1:10" x14ac:dyDescent="0.2">
      <c r="H22" s="3"/>
    </row>
    <row r="23" spans="1:10" x14ac:dyDescent="0.2">
      <c r="H23" s="15"/>
    </row>
  </sheetData>
  <mergeCells count="1">
    <mergeCell ref="A1:J1"/>
  </mergeCells>
  <printOptions gridLines="1"/>
  <pageMargins left="0.75" right="0.16" top="0.51" bottom="0.16" header="0.5" footer="0"/>
  <pageSetup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view="pageBreakPreview" zoomScaleNormal="100" zoomScaleSheetLayoutView="100" workbookViewId="0">
      <pane ySplit="5" topLeftCell="A6" activePane="bottomLeft" state="frozen"/>
      <selection activeCell="D43" sqref="D43"/>
      <selection pane="bottomLeft" activeCell="J9" sqref="J9:J13"/>
    </sheetView>
  </sheetViews>
  <sheetFormatPr defaultColWidth="8.85546875" defaultRowHeight="12.75" x14ac:dyDescent="0.2"/>
  <cols>
    <col min="1" max="1" width="41.42578125" style="348" bestFit="1" customWidth="1"/>
    <col min="2" max="3" width="9" style="348" bestFit="1" customWidth="1"/>
    <col min="4" max="4" width="11.7109375" style="348" bestFit="1" customWidth="1"/>
    <col min="5" max="6" width="11.28515625" style="348" bestFit="1" customWidth="1"/>
    <col min="7" max="7" width="11.7109375" style="348" bestFit="1" customWidth="1"/>
    <col min="8" max="8" width="13.5703125" style="348" bestFit="1" customWidth="1"/>
    <col min="9" max="10" width="11.28515625" style="348" bestFit="1" customWidth="1"/>
    <col min="11" max="11" width="0" style="348" hidden="1" customWidth="1"/>
    <col min="12" max="16384" width="8.85546875" style="348"/>
  </cols>
  <sheetData>
    <row r="1" spans="1:10" x14ac:dyDescent="0.2">
      <c r="A1" s="562" t="str">
        <f>'SUMMARY BY FUND'!A1:J1</f>
        <v>2023-24 BUDGET</v>
      </c>
      <c r="B1" s="563"/>
      <c r="C1" s="563"/>
      <c r="D1" s="563"/>
      <c r="E1" s="563"/>
      <c r="F1" s="563"/>
      <c r="G1" s="563"/>
      <c r="H1" s="563"/>
      <c r="I1" s="563"/>
    </row>
    <row r="2" spans="1:10" ht="18.75" x14ac:dyDescent="0.3">
      <c r="A2" s="202" t="s">
        <v>1891</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19" t="s">
        <v>2163</v>
      </c>
      <c r="F4" s="419" t="s">
        <v>2290</v>
      </c>
      <c r="G4" s="419" t="s">
        <v>2507</v>
      </c>
      <c r="H4" s="419" t="s">
        <v>2507</v>
      </c>
      <c r="I4" s="419" t="s">
        <v>2507</v>
      </c>
      <c r="J4" s="419" t="s">
        <v>2507</v>
      </c>
    </row>
    <row r="5" spans="1:10" ht="13.5" x14ac:dyDescent="0.25">
      <c r="A5" s="574"/>
      <c r="B5" s="574"/>
      <c r="C5" s="574"/>
      <c r="D5" s="574"/>
      <c r="E5" s="574"/>
      <c r="F5" s="574"/>
    </row>
    <row r="9" spans="1:10" ht="13.5" x14ac:dyDescent="0.25">
      <c r="A9" s="350" t="s">
        <v>615</v>
      </c>
      <c r="B9" s="7" t="s">
        <v>631</v>
      </c>
      <c r="C9" s="7" t="s">
        <v>632</v>
      </c>
      <c r="D9" s="7" t="s">
        <v>630</v>
      </c>
      <c r="E9" s="3">
        <v>0</v>
      </c>
      <c r="F9" s="3">
        <v>12795</v>
      </c>
      <c r="G9" s="3">
        <v>12795</v>
      </c>
      <c r="H9" s="3">
        <v>12795</v>
      </c>
      <c r="I9" s="3">
        <v>12795</v>
      </c>
      <c r="J9" s="3"/>
    </row>
    <row r="10" spans="1:10" x14ac:dyDescent="0.2">
      <c r="A10" s="348" t="s">
        <v>70</v>
      </c>
      <c r="B10" s="348">
        <v>189</v>
      </c>
      <c r="C10" s="17">
        <v>67.7</v>
      </c>
      <c r="D10" s="3">
        <f>+B10*C10</f>
        <v>12795.300000000001</v>
      </c>
      <c r="E10" s="491"/>
      <c r="F10" s="491"/>
      <c r="G10" s="491"/>
      <c r="H10" s="491"/>
      <c r="I10" s="557"/>
      <c r="J10" s="557"/>
    </row>
    <row r="11" spans="1:10" x14ac:dyDescent="0.2">
      <c r="E11" s="491"/>
      <c r="F11" s="491"/>
      <c r="G11" s="491"/>
      <c r="H11" s="491"/>
      <c r="I11" s="557"/>
      <c r="J11" s="557"/>
    </row>
    <row r="12" spans="1:10" ht="15" x14ac:dyDescent="0.35">
      <c r="A12" s="18" t="s">
        <v>616</v>
      </c>
      <c r="B12" s="12"/>
      <c r="C12" s="12"/>
      <c r="D12" s="12"/>
      <c r="E12" s="3">
        <v>433307</v>
      </c>
      <c r="F12" s="3">
        <v>487004</v>
      </c>
      <c r="G12" s="3">
        <v>486279</v>
      </c>
      <c r="H12" s="3">
        <v>486279</v>
      </c>
      <c r="I12" s="3">
        <v>486279</v>
      </c>
      <c r="J12" s="3"/>
    </row>
    <row r="13" spans="1:10" x14ac:dyDescent="0.2">
      <c r="A13" s="348" t="s">
        <v>70</v>
      </c>
      <c r="B13" s="3">
        <v>5700</v>
      </c>
      <c r="C13" s="15">
        <v>76.31</v>
      </c>
      <c r="D13" s="3">
        <f>ROUND(B13*C13,0)</f>
        <v>434967</v>
      </c>
    </row>
    <row r="14" spans="1:10" x14ac:dyDescent="0.2">
      <c r="A14" s="348" t="s">
        <v>1063</v>
      </c>
      <c r="B14" s="3"/>
      <c r="C14" s="15"/>
      <c r="D14" s="21">
        <v>51312</v>
      </c>
    </row>
    <row r="15" spans="1:10" x14ac:dyDescent="0.2">
      <c r="A15" s="348" t="s">
        <v>1362</v>
      </c>
      <c r="C15" s="15" t="s">
        <v>418</v>
      </c>
      <c r="D15" s="3">
        <f>SUM(D13:D14)</f>
        <v>486279</v>
      </c>
    </row>
    <row r="16" spans="1:10" x14ac:dyDescent="0.2">
      <c r="C16" s="15"/>
    </row>
    <row r="17" spans="1:10" ht="13.5" x14ac:dyDescent="0.25">
      <c r="A17" s="350" t="s">
        <v>1821</v>
      </c>
      <c r="C17" s="15"/>
      <c r="D17" s="3"/>
      <c r="E17" s="3"/>
      <c r="F17" s="3">
        <v>0</v>
      </c>
      <c r="G17" s="3">
        <v>0</v>
      </c>
      <c r="H17" s="3">
        <v>0</v>
      </c>
      <c r="I17" s="3">
        <v>0</v>
      </c>
      <c r="J17" s="3">
        <v>0</v>
      </c>
    </row>
    <row r="18" spans="1:10" x14ac:dyDescent="0.2">
      <c r="A18" s="3"/>
      <c r="B18" s="3"/>
      <c r="C18" s="3"/>
      <c r="D18" s="3"/>
      <c r="E18" s="3"/>
      <c r="F18" s="3"/>
      <c r="G18" s="3"/>
      <c r="H18" s="3"/>
      <c r="I18" s="3"/>
      <c r="J18" s="3"/>
    </row>
    <row r="19" spans="1:10" ht="18.75" x14ac:dyDescent="0.3">
      <c r="A19" s="208" t="s">
        <v>1910</v>
      </c>
      <c r="B19" s="3"/>
      <c r="C19" s="3"/>
      <c r="D19" s="3"/>
      <c r="E19" s="3">
        <f>+E17+E12+E9+'33-Fire Protection -other'!E12+'32-Media'!E110+'10-wastewater'!E333+'27-debt svc'!B31+'27-debt svc'!B66+'45- capital Projects fund'!E18+3500</f>
        <v>1282790</v>
      </c>
      <c r="F19" s="3">
        <f>+F17+F12+F9+'33-Fire Protection -other'!F12+'32-Media'!F110+'10-wastewater'!F333+'27-debt svc'!C31+'27-debt svc'!C66+'45- capital Projects fund'!F18+3500</f>
        <v>1404017</v>
      </c>
      <c r="G19" s="3">
        <f>+G17+G12+G9+'33-Fire Protection -other'!G12+'32-Media'!G110+'10-wastewater'!G333+'27-debt svc'!D31+'27-debt svc'!D66+'45- capital Projects fund'!G18+23000</f>
        <v>1264816</v>
      </c>
      <c r="H19" s="3">
        <f>+H17+H12+H9+'33-Fire Protection -other'!H12+'32-Media'!H110+'10-wastewater'!H333+'27-debt svc'!E31+'27-debt svc'!E66+'45- capital Projects fund'!H18+'15-library'!H258</f>
        <v>2494028</v>
      </c>
      <c r="I19" s="3">
        <f>+I17+I12+I9+'33-Fire Protection -other'!I12+'32-Media'!I110+'10-wastewater'!I333+'27-debt svc'!F31+'27-debt svc'!F66+'45- capital Projects fund'!I18+'15-library'!I258</f>
        <v>2501107</v>
      </c>
      <c r="J19" s="3">
        <f>+J17+J12+J9+'33-Fire Protection -other'!J12+'32-Media'!J110+'10-wastewater'!J333+'27-debt svc'!G31+'27-debt svc'!G66+'45- capital Projects fund'!J18+'15-library'!J258</f>
        <v>0</v>
      </c>
    </row>
    <row r="20" spans="1:10" x14ac:dyDescent="0.2">
      <c r="A20" s="1" t="s">
        <v>1405</v>
      </c>
      <c r="B20" s="3"/>
      <c r="C20" s="3"/>
      <c r="D20" s="3"/>
      <c r="E20" s="3">
        <f>SUM(E1:E17)</f>
        <v>433307</v>
      </c>
      <c r="F20" s="3">
        <f>SUM(F1:F18)</f>
        <v>499799</v>
      </c>
      <c r="G20" s="3">
        <f>SUM(G1:G18)</f>
        <v>499074</v>
      </c>
      <c r="H20" s="3">
        <f>SUM(H1:H18)</f>
        <v>499074</v>
      </c>
      <c r="I20" s="3">
        <f>SUM(I1:I18)</f>
        <v>499074</v>
      </c>
      <c r="J20" s="3">
        <f>SUM(J1:J18)</f>
        <v>0</v>
      </c>
    </row>
    <row r="24" spans="1:10" x14ac:dyDescent="0.2">
      <c r="C24" s="15"/>
    </row>
    <row r="25" spans="1:10" x14ac:dyDescent="0.2">
      <c r="C25" s="15"/>
    </row>
  </sheetData>
  <mergeCells count="2">
    <mergeCell ref="A5:F5"/>
    <mergeCell ref="A1:I1"/>
  </mergeCells>
  <phoneticPr fontId="8" type="noConversion"/>
  <printOptions gridLines="1"/>
  <pageMargins left="0.75" right="0.16" top="0.51" bottom="0.22" header="0.5" footer="0"/>
  <pageSetup scale="86" fitToHeight="7" orientation="landscape" r:id="rId1"/>
  <headerFooter alignWithMargins="0"/>
  <rowBreaks count="2" manualBreakCount="2">
    <brk id="11" max="9" man="1"/>
    <brk id="15" max="9" man="1"/>
  </rowBreaks>
  <colBreaks count="1" manualBreakCount="1">
    <brk id="10"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12"/>
  <sheetViews>
    <sheetView view="pageBreakPreview" zoomScaleNormal="100" zoomScaleSheetLayoutView="100" workbookViewId="0">
      <pane ySplit="5" topLeftCell="A146" activePane="bottomLeft" state="frozen"/>
      <selection activeCell="D43" sqref="D43"/>
      <selection pane="bottomLeft" activeCell="E158" sqref="E158"/>
    </sheetView>
  </sheetViews>
  <sheetFormatPr defaultColWidth="8.85546875" defaultRowHeight="12.75" x14ac:dyDescent="0.2"/>
  <cols>
    <col min="1" max="1" width="58.28515625" style="348" customWidth="1"/>
    <col min="2" max="2" width="13.140625" style="348" customWidth="1"/>
    <col min="3" max="3" width="10.28515625" style="348" bestFit="1" customWidth="1"/>
    <col min="4" max="4" width="12.7109375" style="52" customWidth="1"/>
    <col min="5" max="6" width="9" style="348" bestFit="1" customWidth="1"/>
    <col min="7" max="7" width="9.85546875" style="348" customWidth="1"/>
    <col min="8" max="8" width="12.28515625" style="348" customWidth="1"/>
    <col min="9" max="10" width="10.85546875" style="348" customWidth="1"/>
    <col min="11" max="11" width="0" style="348" hidden="1" customWidth="1"/>
    <col min="12" max="16384" width="8.85546875" style="348"/>
  </cols>
  <sheetData>
    <row r="1" spans="1:10" x14ac:dyDescent="0.2">
      <c r="A1" s="562" t="str">
        <f>'SUMMARY BY FUND'!A1:J1</f>
        <v>2023-24 BUDGET</v>
      </c>
      <c r="B1" s="563"/>
      <c r="C1" s="563"/>
      <c r="D1" s="563"/>
      <c r="E1" s="563"/>
      <c r="F1" s="563"/>
      <c r="G1" s="563"/>
      <c r="H1" s="563"/>
      <c r="I1" s="563"/>
    </row>
    <row r="2" spans="1:10" ht="18.75" x14ac:dyDescent="0.3">
      <c r="A2" s="202" t="s">
        <v>1909</v>
      </c>
      <c r="B2" s="202"/>
      <c r="C2" s="202"/>
      <c r="D2" s="202"/>
      <c r="E2" s="202"/>
      <c r="F2" s="202"/>
      <c r="G2" s="109"/>
      <c r="H2" s="109"/>
    </row>
    <row r="3" spans="1:10" x14ac:dyDescent="0.2">
      <c r="A3" s="347"/>
      <c r="D3" s="348"/>
    </row>
    <row r="4" spans="1:10" x14ac:dyDescent="0.2">
      <c r="B4" s="11"/>
      <c r="C4" s="11"/>
      <c r="D4" s="179"/>
      <c r="E4" s="19" t="s">
        <v>250</v>
      </c>
      <c r="F4" s="19" t="s">
        <v>251</v>
      </c>
      <c r="G4" s="19" t="s">
        <v>68</v>
      </c>
      <c r="H4" s="19" t="s">
        <v>432</v>
      </c>
      <c r="I4" s="19" t="s">
        <v>338</v>
      </c>
      <c r="J4" s="19" t="s">
        <v>370</v>
      </c>
    </row>
    <row r="5" spans="1:10" ht="15" x14ac:dyDescent="0.35">
      <c r="B5" s="12"/>
      <c r="C5" s="12"/>
      <c r="D5" s="180"/>
      <c r="E5" s="419" t="s">
        <v>2163</v>
      </c>
      <c r="F5" s="419" t="s">
        <v>2290</v>
      </c>
      <c r="G5" s="419" t="s">
        <v>2507</v>
      </c>
      <c r="H5" s="419" t="s">
        <v>2507</v>
      </c>
      <c r="I5" s="419" t="s">
        <v>2507</v>
      </c>
      <c r="J5" s="419" t="s">
        <v>2507</v>
      </c>
    </row>
    <row r="6" spans="1:10" ht="13.5" x14ac:dyDescent="0.25">
      <c r="A6" s="574"/>
      <c r="B6" s="574"/>
      <c r="C6" s="574"/>
      <c r="D6" s="574"/>
      <c r="E6" s="574"/>
      <c r="F6" s="574"/>
      <c r="I6" s="413"/>
    </row>
    <row r="7" spans="1:10" x14ac:dyDescent="0.2">
      <c r="A7" s="491" t="s">
        <v>2530</v>
      </c>
      <c r="B7" s="391"/>
      <c r="C7" s="391"/>
      <c r="D7" s="3"/>
      <c r="E7" s="391"/>
      <c r="F7" s="391"/>
      <c r="G7" s="391"/>
      <c r="I7" s="413"/>
    </row>
    <row r="8" spans="1:10" x14ac:dyDescent="0.2">
      <c r="A8" s="391"/>
      <c r="B8" s="391"/>
      <c r="C8" s="391"/>
      <c r="D8" s="3"/>
      <c r="E8" s="391"/>
      <c r="F8" s="391"/>
      <c r="G8" s="391"/>
      <c r="I8" s="413"/>
    </row>
    <row r="9" spans="1:10" ht="13.5" x14ac:dyDescent="0.25">
      <c r="A9" s="392" t="s">
        <v>1814</v>
      </c>
      <c r="B9" s="391"/>
      <c r="C9" s="15"/>
      <c r="D9" s="3"/>
      <c r="E9" s="3">
        <v>249290</v>
      </c>
      <c r="F9" s="3">
        <v>294268</v>
      </c>
      <c r="G9" s="3">
        <v>348736</v>
      </c>
      <c r="H9" s="3">
        <v>348736</v>
      </c>
      <c r="I9" s="3">
        <v>348736</v>
      </c>
      <c r="J9" s="3"/>
    </row>
    <row r="10" spans="1:10" ht="13.5" x14ac:dyDescent="0.25">
      <c r="A10" s="116" t="s">
        <v>2047</v>
      </c>
      <c r="B10" s="472"/>
      <c r="C10" s="15"/>
      <c r="D10" s="3"/>
      <c r="E10" s="3"/>
      <c r="F10" s="472"/>
      <c r="G10" s="472"/>
      <c r="H10" s="491"/>
      <c r="I10" s="557"/>
      <c r="J10" s="557"/>
    </row>
    <row r="11" spans="1:10" x14ac:dyDescent="0.2">
      <c r="A11" s="374" t="s">
        <v>2586</v>
      </c>
      <c r="B11" s="472"/>
      <c r="C11" s="15"/>
      <c r="D11" s="3"/>
      <c r="E11" s="3"/>
      <c r="F11" s="3"/>
      <c r="G11" s="3"/>
      <c r="H11" s="3"/>
      <c r="I11" s="3"/>
      <c r="J11" s="3"/>
    </row>
    <row r="12" spans="1:10" x14ac:dyDescent="0.2">
      <c r="A12" s="3" t="s">
        <v>2587</v>
      </c>
      <c r="B12" s="3">
        <v>520</v>
      </c>
      <c r="C12" s="15">
        <v>21</v>
      </c>
      <c r="D12" s="3">
        <f t="shared" ref="D12:D26" si="0">SUMPRODUCT(B12*C12)</f>
        <v>10920</v>
      </c>
      <c r="E12" s="3"/>
      <c r="F12" s="3"/>
      <c r="G12" s="3"/>
      <c r="H12" s="3"/>
      <c r="I12" s="3"/>
      <c r="J12" s="3"/>
    </row>
    <row r="13" spans="1:10" x14ac:dyDescent="0.2">
      <c r="A13" s="3" t="s">
        <v>2437</v>
      </c>
      <c r="B13" s="3">
        <v>376</v>
      </c>
      <c r="C13" s="15">
        <v>19.649999999999999</v>
      </c>
      <c r="D13" s="3">
        <f t="shared" si="0"/>
        <v>7388.4</v>
      </c>
      <c r="E13" s="3"/>
      <c r="F13" s="3"/>
      <c r="G13" s="3"/>
      <c r="H13" s="3"/>
      <c r="I13" s="3"/>
      <c r="J13" s="3"/>
    </row>
    <row r="14" spans="1:10" x14ac:dyDescent="0.2">
      <c r="A14" s="3" t="s">
        <v>2588</v>
      </c>
      <c r="B14" s="3">
        <v>376</v>
      </c>
      <c r="C14" s="15">
        <v>23.38</v>
      </c>
      <c r="D14" s="3">
        <f t="shared" si="0"/>
        <v>8790.8799999999992</v>
      </c>
      <c r="E14" s="3"/>
      <c r="F14" s="3"/>
      <c r="G14" s="3"/>
      <c r="H14" s="3"/>
      <c r="I14" s="3"/>
      <c r="J14" s="3"/>
    </row>
    <row r="15" spans="1:10" x14ac:dyDescent="0.2">
      <c r="A15" s="3" t="s">
        <v>2589</v>
      </c>
      <c r="B15" s="3">
        <v>376</v>
      </c>
      <c r="C15" s="15">
        <v>21.18</v>
      </c>
      <c r="D15" s="3">
        <f t="shared" si="0"/>
        <v>7963.68</v>
      </c>
      <c r="E15" s="3"/>
      <c r="F15" s="3"/>
      <c r="G15" s="3"/>
      <c r="H15" s="3"/>
      <c r="I15" s="3"/>
      <c r="J15" s="3"/>
    </row>
    <row r="16" spans="1:10" x14ac:dyDescent="0.2">
      <c r="A16" s="3" t="s">
        <v>2590</v>
      </c>
      <c r="B16" s="3">
        <v>376</v>
      </c>
      <c r="C16" s="15">
        <v>17.309999999999999</v>
      </c>
      <c r="D16" s="3">
        <f t="shared" si="0"/>
        <v>6508.5599999999995</v>
      </c>
      <c r="E16" s="3"/>
      <c r="F16" s="3"/>
      <c r="G16" s="3"/>
      <c r="H16" s="3"/>
      <c r="I16" s="3"/>
      <c r="J16" s="3"/>
    </row>
    <row r="17" spans="1:10" x14ac:dyDescent="0.2">
      <c r="A17" s="3" t="s">
        <v>2591</v>
      </c>
      <c r="B17" s="3">
        <v>188</v>
      </c>
      <c r="C17" s="15">
        <v>21.74</v>
      </c>
      <c r="D17" s="3">
        <f t="shared" si="0"/>
        <v>4087.12</v>
      </c>
      <c r="E17" s="3"/>
      <c r="F17" s="3"/>
      <c r="G17" s="3"/>
      <c r="H17" s="3"/>
      <c r="I17" s="3"/>
      <c r="J17" s="3"/>
    </row>
    <row r="18" spans="1:10" x14ac:dyDescent="0.2">
      <c r="A18" s="3" t="s">
        <v>2592</v>
      </c>
      <c r="B18" s="3">
        <v>752</v>
      </c>
      <c r="C18" s="15">
        <v>19</v>
      </c>
      <c r="D18" s="3">
        <f t="shared" si="0"/>
        <v>14288</v>
      </c>
      <c r="E18" s="3"/>
      <c r="F18" s="3"/>
      <c r="G18" s="3"/>
      <c r="H18" s="3"/>
      <c r="I18" s="3"/>
      <c r="J18" s="3"/>
    </row>
    <row r="19" spans="1:10" x14ac:dyDescent="0.2">
      <c r="A19" s="3" t="s">
        <v>2593</v>
      </c>
      <c r="B19" s="3">
        <v>1128</v>
      </c>
      <c r="C19" s="15">
        <v>19</v>
      </c>
      <c r="D19" s="3">
        <f t="shared" si="0"/>
        <v>21432</v>
      </c>
      <c r="E19" s="3"/>
      <c r="F19" s="3"/>
      <c r="G19" s="3"/>
      <c r="H19" s="3"/>
      <c r="I19" s="3"/>
      <c r="J19" s="3"/>
    </row>
    <row r="20" spans="1:10" x14ac:dyDescent="0.2">
      <c r="A20" s="3" t="s">
        <v>2594</v>
      </c>
      <c r="B20" s="3">
        <v>4136</v>
      </c>
      <c r="C20" s="15">
        <v>15.25</v>
      </c>
      <c r="D20" s="3">
        <f t="shared" si="0"/>
        <v>63074</v>
      </c>
      <c r="E20" s="3"/>
      <c r="F20" s="3"/>
      <c r="G20" s="3"/>
      <c r="H20" s="3"/>
      <c r="I20" s="3"/>
      <c r="J20" s="3"/>
    </row>
    <row r="21" spans="1:10" x14ac:dyDescent="0.2">
      <c r="A21" s="3" t="s">
        <v>2595</v>
      </c>
      <c r="B21" s="3">
        <v>2256</v>
      </c>
      <c r="C21" s="15">
        <v>14.25</v>
      </c>
      <c r="D21" s="3">
        <f t="shared" si="0"/>
        <v>32148</v>
      </c>
      <c r="E21" s="3"/>
      <c r="F21" s="3"/>
      <c r="G21" s="3"/>
      <c r="H21" s="3"/>
      <c r="I21" s="3"/>
      <c r="J21" s="3"/>
    </row>
    <row r="22" spans="1:10" x14ac:dyDescent="0.2">
      <c r="A22" s="3" t="s">
        <v>2596</v>
      </c>
      <c r="B22" s="3">
        <v>752</v>
      </c>
      <c r="C22" s="15">
        <v>19.5</v>
      </c>
      <c r="D22" s="3">
        <f t="shared" si="0"/>
        <v>14664</v>
      </c>
      <c r="E22" s="3"/>
      <c r="F22" s="3"/>
      <c r="G22" s="3"/>
      <c r="H22" s="3"/>
      <c r="I22" s="3"/>
      <c r="J22" s="3"/>
    </row>
    <row r="23" spans="1:10" x14ac:dyDescent="0.2">
      <c r="A23" s="3" t="s">
        <v>2597</v>
      </c>
      <c r="B23" s="3">
        <v>1504</v>
      </c>
      <c r="C23" s="15">
        <v>18.399999999999999</v>
      </c>
      <c r="D23" s="3">
        <f t="shared" si="0"/>
        <v>27673.599999999999</v>
      </c>
      <c r="E23" s="3"/>
      <c r="F23" s="3"/>
      <c r="G23" s="3"/>
      <c r="H23" s="3"/>
      <c r="I23" s="3"/>
      <c r="J23" s="3"/>
    </row>
    <row r="24" spans="1:10" x14ac:dyDescent="0.2">
      <c r="A24" s="3" t="s">
        <v>2598</v>
      </c>
      <c r="B24" s="3">
        <v>376</v>
      </c>
      <c r="C24" s="178">
        <v>16</v>
      </c>
      <c r="D24" s="3">
        <f t="shared" si="0"/>
        <v>6016</v>
      </c>
      <c r="E24" s="3"/>
      <c r="F24" s="3"/>
      <c r="G24" s="3"/>
      <c r="H24" s="3"/>
      <c r="I24" s="3"/>
      <c r="J24" s="3"/>
    </row>
    <row r="25" spans="1:10" x14ac:dyDescent="0.2">
      <c r="A25" s="3" t="s">
        <v>2599</v>
      </c>
      <c r="B25" s="3">
        <v>376</v>
      </c>
      <c r="C25" s="15">
        <v>14</v>
      </c>
      <c r="D25" s="3">
        <f t="shared" si="0"/>
        <v>5264</v>
      </c>
      <c r="E25" s="3"/>
      <c r="F25" s="3"/>
      <c r="G25" s="3"/>
      <c r="H25" s="3"/>
      <c r="I25" s="3"/>
      <c r="J25" s="3"/>
    </row>
    <row r="26" spans="1:10" ht="15" x14ac:dyDescent="0.35">
      <c r="A26" s="3" t="s">
        <v>2600</v>
      </c>
      <c r="B26" s="3">
        <v>400</v>
      </c>
      <c r="C26" s="15">
        <v>15.25</v>
      </c>
      <c r="D26" s="14">
        <f t="shared" si="0"/>
        <v>6100</v>
      </c>
      <c r="E26" s="3"/>
      <c r="F26" s="3"/>
      <c r="G26" s="3"/>
      <c r="H26" s="3"/>
      <c r="I26" s="3"/>
      <c r="J26" s="3"/>
    </row>
    <row r="27" spans="1:10" x14ac:dyDescent="0.2">
      <c r="A27" s="437" t="s">
        <v>2601</v>
      </c>
      <c r="B27" s="437"/>
      <c r="C27" s="442"/>
      <c r="D27" s="437">
        <f>SUM(D11:D26)</f>
        <v>236318.24000000002</v>
      </c>
      <c r="E27" s="3"/>
      <c r="F27" s="3"/>
      <c r="G27" s="3"/>
      <c r="H27" s="3"/>
      <c r="I27" s="3"/>
      <c r="J27" s="3"/>
    </row>
    <row r="28" spans="1:10" x14ac:dyDescent="0.2">
      <c r="A28" s="15" t="s">
        <v>680</v>
      </c>
      <c r="B28" s="15">
        <f>+D27:D27</f>
        <v>236318.24000000002</v>
      </c>
      <c r="C28" s="15">
        <v>7.6499999999999999E-2</v>
      </c>
      <c r="D28" s="15">
        <f>ROUND(B28*C28,0)</f>
        <v>18078</v>
      </c>
      <c r="E28" s="3"/>
      <c r="F28" s="3"/>
      <c r="G28" s="3"/>
      <c r="H28" s="3"/>
      <c r="I28" s="3"/>
      <c r="J28" s="3"/>
    </row>
    <row r="29" spans="1:10" x14ac:dyDescent="0.2">
      <c r="A29" s="15" t="s">
        <v>681</v>
      </c>
      <c r="B29" s="15">
        <f>+D27</f>
        <v>236318.24000000002</v>
      </c>
      <c r="C29" s="15">
        <v>2.5600000000000001E-2</v>
      </c>
      <c r="D29" s="15">
        <f>ROUND(B29*C29,0)</f>
        <v>6050</v>
      </c>
      <c r="E29" s="3"/>
      <c r="F29" s="3"/>
      <c r="G29" s="3"/>
      <c r="H29" s="3"/>
      <c r="I29" s="3"/>
      <c r="J29" s="3"/>
    </row>
    <row r="30" spans="1:10" x14ac:dyDescent="0.2">
      <c r="A30" s="15" t="s">
        <v>682</v>
      </c>
      <c r="B30" s="15">
        <f>+D27</f>
        <v>236318.24000000002</v>
      </c>
      <c r="C30" s="15">
        <v>3.3999999999999998E-3</v>
      </c>
      <c r="D30" s="15">
        <f>ROUND(B30*C30,0)</f>
        <v>803</v>
      </c>
      <c r="E30" s="3"/>
      <c r="F30" s="3"/>
      <c r="G30" s="3"/>
      <c r="H30" s="3"/>
      <c r="I30" s="3"/>
      <c r="J30" s="3"/>
    </row>
    <row r="31" spans="1:10" x14ac:dyDescent="0.2">
      <c r="A31" s="15" t="s">
        <v>1682</v>
      </c>
      <c r="B31" s="15"/>
      <c r="C31" s="15"/>
      <c r="D31" s="15">
        <v>35076.589999999997</v>
      </c>
      <c r="E31" s="3"/>
      <c r="F31" s="3"/>
      <c r="G31" s="3"/>
      <c r="H31" s="3"/>
      <c r="I31" s="3"/>
      <c r="J31" s="3"/>
    </row>
    <row r="32" spans="1:10" x14ac:dyDescent="0.2">
      <c r="A32" s="15" t="s">
        <v>2602</v>
      </c>
      <c r="B32" s="15"/>
      <c r="C32" s="476"/>
      <c r="D32" s="15">
        <v>11500</v>
      </c>
      <c r="E32" s="3"/>
      <c r="F32" s="3"/>
      <c r="G32" s="3"/>
      <c r="H32" s="3"/>
      <c r="I32" s="3"/>
      <c r="J32" s="3"/>
    </row>
    <row r="33" spans="1:10" x14ac:dyDescent="0.2">
      <c r="A33" s="15" t="s">
        <v>2106</v>
      </c>
      <c r="B33" s="15"/>
      <c r="C33" s="15"/>
      <c r="D33" s="15">
        <v>4500</v>
      </c>
      <c r="E33" s="3"/>
      <c r="F33" s="3"/>
      <c r="G33" s="3"/>
      <c r="H33" s="3"/>
      <c r="I33" s="3"/>
      <c r="J33" s="3"/>
    </row>
    <row r="34" spans="1:10" x14ac:dyDescent="0.2">
      <c r="A34" s="15" t="s">
        <v>2603</v>
      </c>
      <c r="B34" s="15"/>
      <c r="C34" s="15"/>
      <c r="D34" s="15">
        <v>2000</v>
      </c>
      <c r="E34" s="3"/>
      <c r="F34" s="3"/>
      <c r="G34" s="3"/>
      <c r="H34" s="3"/>
      <c r="I34" s="3"/>
      <c r="J34" s="3"/>
    </row>
    <row r="35" spans="1:10" x14ac:dyDescent="0.2">
      <c r="A35" s="15" t="s">
        <v>2438</v>
      </c>
      <c r="B35" s="15"/>
      <c r="C35" s="15"/>
      <c r="D35" s="15">
        <v>500</v>
      </c>
      <c r="E35" s="3"/>
      <c r="F35" s="3"/>
      <c r="G35" s="3"/>
      <c r="H35" s="3"/>
      <c r="I35" s="3"/>
      <c r="J35" s="3"/>
    </row>
    <row r="36" spans="1:10" x14ac:dyDescent="0.2">
      <c r="A36" s="15" t="s">
        <v>2604</v>
      </c>
      <c r="B36" s="15"/>
      <c r="C36" s="15"/>
      <c r="D36" s="15">
        <v>900</v>
      </c>
      <c r="E36" s="3"/>
      <c r="F36" s="3"/>
      <c r="G36" s="3"/>
      <c r="H36" s="3"/>
      <c r="I36" s="3"/>
      <c r="J36" s="3"/>
    </row>
    <row r="37" spans="1:10" x14ac:dyDescent="0.2">
      <c r="A37" s="15" t="s">
        <v>1815</v>
      </c>
      <c r="B37" s="15"/>
      <c r="C37" s="15"/>
      <c r="D37" s="15">
        <v>2000</v>
      </c>
      <c r="E37" s="3"/>
      <c r="F37" s="3"/>
      <c r="G37" s="3"/>
      <c r="H37" s="3"/>
      <c r="I37" s="3"/>
      <c r="J37" s="3"/>
    </row>
    <row r="38" spans="1:10" x14ac:dyDescent="0.2">
      <c r="A38" s="15" t="s">
        <v>913</v>
      </c>
      <c r="B38" s="15"/>
      <c r="C38" s="15"/>
      <c r="D38" s="15">
        <v>2000</v>
      </c>
      <c r="E38" s="3"/>
      <c r="F38" s="3"/>
      <c r="G38" s="3"/>
      <c r="H38" s="3"/>
      <c r="I38" s="3"/>
      <c r="J38" s="3"/>
    </row>
    <row r="39" spans="1:10" x14ac:dyDescent="0.2">
      <c r="A39" s="15" t="s">
        <v>2048</v>
      </c>
      <c r="B39" s="15"/>
      <c r="C39" s="15"/>
      <c r="D39" s="15">
        <v>3350</v>
      </c>
      <c r="E39" s="3"/>
      <c r="F39" s="3"/>
      <c r="G39" s="3"/>
      <c r="H39" s="3"/>
      <c r="I39" s="3"/>
      <c r="J39" s="3"/>
    </row>
    <row r="40" spans="1:10" x14ac:dyDescent="0.2">
      <c r="A40" s="15" t="s">
        <v>1817</v>
      </c>
      <c r="B40" s="15"/>
      <c r="C40" s="15"/>
      <c r="D40" s="15">
        <v>5000</v>
      </c>
      <c r="E40" s="3"/>
      <c r="F40" s="3"/>
      <c r="G40" s="3"/>
      <c r="H40" s="3"/>
      <c r="I40" s="3"/>
      <c r="J40" s="3"/>
    </row>
    <row r="41" spans="1:10" x14ac:dyDescent="0.2">
      <c r="A41" s="15" t="s">
        <v>1766</v>
      </c>
      <c r="B41" s="15"/>
      <c r="C41" s="15"/>
      <c r="D41" s="15">
        <v>4200</v>
      </c>
      <c r="E41" s="3"/>
      <c r="F41" s="472"/>
      <c r="G41" s="472"/>
      <c r="H41" s="491"/>
      <c r="I41" s="557"/>
      <c r="J41" s="557"/>
    </row>
    <row r="42" spans="1:10" x14ac:dyDescent="0.2">
      <c r="A42" s="15" t="s">
        <v>2107</v>
      </c>
      <c r="B42" s="15"/>
      <c r="C42" s="15"/>
      <c r="D42" s="15">
        <v>1500</v>
      </c>
      <c r="E42" s="3"/>
      <c r="F42" s="3"/>
      <c r="G42" s="3"/>
      <c r="H42" s="3"/>
      <c r="I42" s="3"/>
      <c r="J42" s="3"/>
    </row>
    <row r="43" spans="1:10" x14ac:dyDescent="0.2">
      <c r="A43" s="15" t="s">
        <v>2605</v>
      </c>
      <c r="B43" s="15"/>
      <c r="C43" s="15"/>
      <c r="D43" s="15">
        <v>3500</v>
      </c>
      <c r="E43" s="3"/>
      <c r="F43" s="286"/>
      <c r="G43" s="286"/>
      <c r="H43" s="286"/>
      <c r="I43" s="286"/>
      <c r="J43" s="286"/>
    </row>
    <row r="44" spans="1:10" x14ac:dyDescent="0.2">
      <c r="A44" s="15" t="s">
        <v>2108</v>
      </c>
      <c r="B44" s="15"/>
      <c r="C44" s="15"/>
      <c r="D44" s="15">
        <v>2251.88</v>
      </c>
      <c r="E44" s="3"/>
      <c r="F44" s="3"/>
      <c r="G44" s="3"/>
      <c r="H44" s="3"/>
      <c r="I44" s="3"/>
      <c r="J44" s="3"/>
    </row>
    <row r="45" spans="1:10" x14ac:dyDescent="0.2">
      <c r="A45" s="375" t="s">
        <v>2606</v>
      </c>
      <c r="B45" s="375"/>
      <c r="C45" s="375"/>
      <c r="D45" s="397">
        <v>1000</v>
      </c>
      <c r="E45" s="3"/>
      <c r="F45" s="3"/>
      <c r="G45" s="3"/>
      <c r="H45" s="3"/>
      <c r="I45" s="3"/>
      <c r="J45" s="3"/>
    </row>
    <row r="46" spans="1:10" x14ac:dyDescent="0.2">
      <c r="A46" s="375" t="s">
        <v>2607</v>
      </c>
      <c r="B46" s="375"/>
      <c r="C46" s="375"/>
      <c r="D46" s="477">
        <v>8208.7199999999993</v>
      </c>
      <c r="E46" s="3"/>
      <c r="F46" s="3"/>
      <c r="G46" s="3"/>
      <c r="H46" s="3"/>
      <c r="I46" s="3"/>
      <c r="J46" s="3"/>
    </row>
    <row r="47" spans="1:10" x14ac:dyDescent="0.2">
      <c r="A47" s="478" t="s">
        <v>2049</v>
      </c>
      <c r="B47" s="479"/>
      <c r="C47" s="479"/>
      <c r="D47" s="480">
        <f>SUM(D27:D46)</f>
        <v>348736.43</v>
      </c>
      <c r="E47" s="3"/>
      <c r="F47" s="3"/>
      <c r="G47" s="3"/>
      <c r="H47" s="3"/>
      <c r="I47" s="3"/>
      <c r="J47" s="3"/>
    </row>
    <row r="48" spans="1:10" x14ac:dyDescent="0.2">
      <c r="A48" s="177"/>
      <c r="B48" s="177"/>
      <c r="C48" s="451"/>
      <c r="D48" s="177"/>
      <c r="E48" s="3"/>
      <c r="F48" s="3"/>
      <c r="G48" s="3"/>
      <c r="H48" s="3"/>
      <c r="I48" s="3"/>
      <c r="J48" s="3"/>
    </row>
    <row r="49" spans="1:10" x14ac:dyDescent="0.2">
      <c r="A49" s="177"/>
      <c r="B49" s="177"/>
      <c r="C49" s="451"/>
      <c r="D49" s="177"/>
      <c r="E49" s="3"/>
      <c r="F49" s="3"/>
      <c r="G49" s="3"/>
      <c r="H49" s="3"/>
      <c r="I49" s="3"/>
      <c r="J49" s="3"/>
    </row>
    <row r="50" spans="1:10" ht="15" x14ac:dyDescent="0.35">
      <c r="A50" s="79" t="s">
        <v>2608</v>
      </c>
      <c r="B50" s="3"/>
      <c r="C50" s="3"/>
      <c r="D50" s="375"/>
      <c r="E50" s="3"/>
      <c r="F50" s="3"/>
      <c r="G50" s="3"/>
      <c r="H50" s="3"/>
      <c r="I50" s="3"/>
      <c r="J50" s="3"/>
    </row>
    <row r="51" spans="1:10" x14ac:dyDescent="0.2">
      <c r="A51" s="3" t="s">
        <v>2609</v>
      </c>
      <c r="B51" s="3">
        <v>384</v>
      </c>
      <c r="C51" s="178">
        <v>19.48</v>
      </c>
      <c r="D51" s="15">
        <f>SUMPRODUCT(B51*C51)</f>
        <v>7480.32</v>
      </c>
      <c r="E51" s="3"/>
      <c r="F51" s="3"/>
      <c r="G51" s="3"/>
      <c r="H51" s="3"/>
      <c r="I51" s="3"/>
      <c r="J51" s="3"/>
    </row>
    <row r="52" spans="1:10" ht="15" x14ac:dyDescent="0.35">
      <c r="A52" s="3" t="s">
        <v>2610</v>
      </c>
      <c r="B52" s="3">
        <v>2256</v>
      </c>
      <c r="C52" s="178">
        <v>15.25</v>
      </c>
      <c r="D52" s="46">
        <f>SUMPRODUCT(B52*C52)</f>
        <v>34404</v>
      </c>
      <c r="E52" s="3"/>
      <c r="F52" s="3"/>
      <c r="G52" s="3"/>
      <c r="H52" s="3"/>
      <c r="I52" s="3"/>
      <c r="J52" s="3"/>
    </row>
    <row r="53" spans="1:10" x14ac:dyDescent="0.2">
      <c r="A53" s="437" t="s">
        <v>1681</v>
      </c>
      <c r="B53" s="4"/>
      <c r="C53" s="4"/>
      <c r="D53" s="15">
        <f>SUM(D51:D52)</f>
        <v>41884.32</v>
      </c>
      <c r="E53" s="3"/>
      <c r="F53" s="3"/>
      <c r="G53" s="3"/>
      <c r="H53" s="3"/>
      <c r="I53" s="3"/>
      <c r="J53" s="3"/>
    </row>
    <row r="54" spans="1:10" x14ac:dyDescent="0.2">
      <c r="A54" s="3" t="s">
        <v>680</v>
      </c>
      <c r="B54" s="3">
        <f>+D53:D53</f>
        <v>41884.32</v>
      </c>
      <c r="C54" s="17">
        <v>7.6499999999999999E-2</v>
      </c>
      <c r="D54" s="15">
        <f>ROUND(B54*C54,0)</f>
        <v>3204</v>
      </c>
      <c r="E54" s="3"/>
      <c r="F54" s="3"/>
      <c r="G54" s="3"/>
      <c r="H54" s="3"/>
      <c r="I54" s="3"/>
      <c r="J54" s="3"/>
    </row>
    <row r="55" spans="1:10" x14ac:dyDescent="0.2">
      <c r="A55" s="3" t="s">
        <v>681</v>
      </c>
      <c r="B55" s="3">
        <f>+D53</f>
        <v>41884.32</v>
      </c>
      <c r="C55" s="17">
        <v>2.5600000000000001E-2</v>
      </c>
      <c r="D55" s="15">
        <f>ROUND(B55*C55,0)</f>
        <v>1072</v>
      </c>
      <c r="E55" s="3"/>
      <c r="F55" s="3"/>
      <c r="G55" s="3"/>
      <c r="H55" s="3"/>
      <c r="I55" s="3"/>
      <c r="J55" s="3"/>
    </row>
    <row r="56" spans="1:10" x14ac:dyDescent="0.2">
      <c r="A56" s="3" t="s">
        <v>682</v>
      </c>
      <c r="B56" s="3">
        <f>+D53</f>
        <v>41884.32</v>
      </c>
      <c r="C56" s="17">
        <v>3.3999999999999998E-3</v>
      </c>
      <c r="D56" s="15">
        <f>ROUND(B56*C56,0)</f>
        <v>142</v>
      </c>
      <c r="E56" s="3"/>
      <c r="F56" s="3"/>
      <c r="G56" s="3"/>
      <c r="H56" s="3"/>
      <c r="I56" s="3"/>
      <c r="J56" s="3"/>
    </row>
    <row r="57" spans="1:10" x14ac:dyDescent="0.2">
      <c r="A57" s="3" t="s">
        <v>1682</v>
      </c>
      <c r="B57" s="3"/>
      <c r="C57" s="3"/>
      <c r="D57" s="15">
        <v>10340.6</v>
      </c>
      <c r="E57" s="3"/>
      <c r="F57" s="3"/>
      <c r="G57" s="472"/>
      <c r="H57" s="491"/>
      <c r="I57" s="557"/>
      <c r="J57" s="557"/>
    </row>
    <row r="58" spans="1:10" x14ac:dyDescent="0.2">
      <c r="A58" s="3" t="s">
        <v>2611</v>
      </c>
      <c r="B58" s="3"/>
      <c r="C58" s="3"/>
      <c r="D58" s="15">
        <v>175</v>
      </c>
      <c r="E58" s="3"/>
      <c r="F58" s="3"/>
      <c r="G58" s="3"/>
      <c r="H58" s="3"/>
      <c r="I58" s="3"/>
      <c r="J58" s="3"/>
    </row>
    <row r="59" spans="1:10" x14ac:dyDescent="0.2">
      <c r="A59" s="399" t="s">
        <v>2612</v>
      </c>
      <c r="B59" s="375"/>
      <c r="C59" s="375"/>
      <c r="D59" s="15">
        <v>1000</v>
      </c>
      <c r="E59" s="3"/>
      <c r="F59" s="3"/>
      <c r="G59" s="3"/>
      <c r="H59" s="3"/>
      <c r="I59" s="3"/>
      <c r="J59" s="3"/>
    </row>
    <row r="60" spans="1:10" x14ac:dyDescent="0.2">
      <c r="A60" s="3" t="s">
        <v>1766</v>
      </c>
      <c r="B60" s="3"/>
      <c r="C60" s="3"/>
      <c r="D60" s="15">
        <v>2258</v>
      </c>
      <c r="E60" s="3"/>
      <c r="F60" s="3"/>
      <c r="G60" s="3"/>
      <c r="H60" s="3"/>
      <c r="I60" s="3"/>
      <c r="J60" s="3"/>
    </row>
    <row r="61" spans="1:10" x14ac:dyDescent="0.2">
      <c r="A61" s="3" t="s">
        <v>2108</v>
      </c>
      <c r="B61" s="3"/>
      <c r="C61" s="3"/>
      <c r="D61" s="15">
        <v>663.48</v>
      </c>
      <c r="E61" s="3"/>
      <c r="F61" s="3"/>
      <c r="G61" s="3"/>
      <c r="H61" s="3"/>
      <c r="I61" s="3"/>
      <c r="J61" s="3"/>
    </row>
    <row r="62" spans="1:10" x14ac:dyDescent="0.2">
      <c r="A62" s="15" t="s">
        <v>2613</v>
      </c>
      <c r="B62" s="15"/>
      <c r="C62" s="15"/>
      <c r="D62" s="15">
        <v>18720</v>
      </c>
      <c r="E62" s="3"/>
      <c r="F62" s="3"/>
      <c r="G62" s="3"/>
      <c r="H62" s="3"/>
      <c r="I62" s="3"/>
      <c r="J62" s="3"/>
    </row>
    <row r="63" spans="1:10" x14ac:dyDescent="0.2">
      <c r="A63" s="15" t="s">
        <v>2614</v>
      </c>
      <c r="B63" s="15"/>
      <c r="C63" s="15"/>
      <c r="D63" s="15">
        <v>19000</v>
      </c>
      <c r="E63" s="3"/>
      <c r="F63" s="3"/>
      <c r="G63" s="3"/>
      <c r="H63" s="3"/>
      <c r="I63" s="3"/>
      <c r="J63" s="3"/>
    </row>
    <row r="64" spans="1:10" x14ac:dyDescent="0.2">
      <c r="A64" s="482" t="s">
        <v>2049</v>
      </c>
      <c r="B64" s="483"/>
      <c r="C64" s="479"/>
      <c r="D64" s="480">
        <f>SUM(D53:D63)</f>
        <v>98459.4</v>
      </c>
      <c r="E64" s="3"/>
      <c r="F64" s="3"/>
      <c r="G64" s="3">
        <v>98459.4</v>
      </c>
      <c r="H64" s="3">
        <v>98459.4</v>
      </c>
      <c r="I64" s="3">
        <v>98459.4</v>
      </c>
      <c r="J64" s="3"/>
    </row>
    <row r="65" spans="1:10" x14ac:dyDescent="0.2">
      <c r="A65" s="3"/>
      <c r="B65" s="3"/>
      <c r="C65" s="3"/>
      <c r="D65" s="481"/>
      <c r="E65" s="3"/>
      <c r="F65" s="3"/>
      <c r="G65" s="3"/>
      <c r="H65" s="3"/>
      <c r="I65" s="3"/>
      <c r="J65" s="3"/>
    </row>
    <row r="66" spans="1:10" x14ac:dyDescent="0.2">
      <c r="A66" s="3"/>
      <c r="B66" s="3"/>
      <c r="C66" s="3"/>
      <c r="D66" s="481"/>
      <c r="E66" s="3"/>
      <c r="F66" s="3"/>
      <c r="G66" s="3"/>
      <c r="H66" s="3"/>
      <c r="I66" s="3"/>
      <c r="J66" s="3"/>
    </row>
    <row r="67" spans="1:10" s="382" customFormat="1" ht="15" x14ac:dyDescent="0.35">
      <c r="A67" s="79" t="s">
        <v>2615</v>
      </c>
      <c r="B67" s="3"/>
      <c r="C67" s="3"/>
      <c r="D67" s="375"/>
      <c r="E67" s="3"/>
      <c r="F67" s="3"/>
      <c r="G67" s="3"/>
      <c r="H67" s="3"/>
      <c r="I67" s="3"/>
      <c r="J67" s="3"/>
    </row>
    <row r="68" spans="1:10" x14ac:dyDescent="0.2">
      <c r="A68" s="3" t="s">
        <v>2616</v>
      </c>
      <c r="B68" s="3">
        <v>50</v>
      </c>
      <c r="C68" s="178">
        <v>18.36</v>
      </c>
      <c r="D68" s="15">
        <f>SUMPRODUCT(B68*C68)</f>
        <v>918</v>
      </c>
      <c r="E68" s="3"/>
      <c r="F68" s="286"/>
      <c r="G68" s="286"/>
      <c r="H68" s="286"/>
      <c r="I68" s="286"/>
      <c r="J68" s="286"/>
    </row>
    <row r="69" spans="1:10" ht="15" x14ac:dyDescent="0.35">
      <c r="A69" s="3" t="s">
        <v>2617</v>
      </c>
      <c r="B69" s="3">
        <v>150</v>
      </c>
      <c r="C69" s="178">
        <v>15.56</v>
      </c>
      <c r="D69" s="46">
        <f>SUMPRODUCT(B69*C69)</f>
        <v>2334</v>
      </c>
      <c r="E69" s="3"/>
      <c r="F69" s="3"/>
      <c r="G69" s="3"/>
      <c r="H69" s="3"/>
      <c r="I69" s="3"/>
      <c r="J69" s="3"/>
    </row>
    <row r="70" spans="1:10" x14ac:dyDescent="0.2">
      <c r="A70" s="437" t="s">
        <v>1681</v>
      </c>
      <c r="B70" s="4"/>
      <c r="C70" s="4"/>
      <c r="D70" s="15">
        <f>SUM(D68:D69)</f>
        <v>3252</v>
      </c>
      <c r="E70" s="3"/>
      <c r="F70" s="3"/>
      <c r="G70" s="3"/>
      <c r="H70" s="3"/>
      <c r="I70" s="3"/>
      <c r="J70" s="3"/>
    </row>
    <row r="71" spans="1:10" x14ac:dyDescent="0.2">
      <c r="A71" s="3" t="s">
        <v>680</v>
      </c>
      <c r="B71" s="3">
        <f>+D70:D70</f>
        <v>3252</v>
      </c>
      <c r="C71" s="17">
        <v>7.6499999999999999E-2</v>
      </c>
      <c r="D71" s="15">
        <f>ROUND(B71*C71,0)</f>
        <v>249</v>
      </c>
      <c r="E71" s="3"/>
      <c r="F71" s="3"/>
      <c r="G71" s="3"/>
      <c r="H71" s="3"/>
      <c r="I71" s="3"/>
      <c r="J71" s="3"/>
    </row>
    <row r="72" spans="1:10" s="371" customFormat="1" x14ac:dyDescent="0.2">
      <c r="A72" s="3" t="s">
        <v>681</v>
      </c>
      <c r="B72" s="3">
        <f>+D70</f>
        <v>3252</v>
      </c>
      <c r="C72" s="17">
        <v>2.5600000000000001E-2</v>
      </c>
      <c r="D72" s="15">
        <f>ROUND(B72*C72,0)</f>
        <v>83</v>
      </c>
      <c r="E72" s="3"/>
      <c r="F72" s="3"/>
      <c r="G72" s="3"/>
      <c r="H72" s="3"/>
      <c r="I72" s="3"/>
      <c r="J72" s="3"/>
    </row>
    <row r="73" spans="1:10" s="371" customFormat="1" x14ac:dyDescent="0.2">
      <c r="A73" s="3" t="s">
        <v>682</v>
      </c>
      <c r="B73" s="3">
        <f>+D70</f>
        <v>3252</v>
      </c>
      <c r="C73" s="17">
        <v>3.3999999999999998E-3</v>
      </c>
      <c r="D73" s="15">
        <f>ROUND(B73*C73,0)</f>
        <v>11</v>
      </c>
      <c r="E73" s="228"/>
      <c r="F73" s="3"/>
      <c r="G73" s="228"/>
      <c r="H73" s="228"/>
      <c r="I73" s="228"/>
      <c r="J73" s="228"/>
    </row>
    <row r="74" spans="1:10" s="371" customFormat="1" x14ac:dyDescent="0.2">
      <c r="A74" s="3" t="s">
        <v>1682</v>
      </c>
      <c r="B74" s="3"/>
      <c r="C74" s="3"/>
      <c r="D74" s="15">
        <v>337.39</v>
      </c>
      <c r="E74" s="228"/>
      <c r="F74" s="3"/>
      <c r="G74" s="228"/>
      <c r="H74" s="228"/>
      <c r="I74" s="228"/>
      <c r="J74" s="228"/>
    </row>
    <row r="75" spans="1:10" s="371" customFormat="1" x14ac:dyDescent="0.2">
      <c r="A75" s="3" t="s">
        <v>1819</v>
      </c>
      <c r="B75" s="3"/>
      <c r="C75" s="3"/>
      <c r="D75" s="15">
        <v>100</v>
      </c>
      <c r="E75" s="3"/>
      <c r="F75" s="3"/>
      <c r="G75" s="3"/>
      <c r="H75" s="3"/>
      <c r="I75" s="3"/>
      <c r="J75" s="3"/>
    </row>
    <row r="76" spans="1:10" s="371" customFormat="1" x14ac:dyDescent="0.2">
      <c r="A76" s="399" t="s">
        <v>2612</v>
      </c>
      <c r="B76" s="375"/>
      <c r="C76" s="375"/>
      <c r="D76" s="15">
        <v>1200</v>
      </c>
      <c r="E76" s="3"/>
      <c r="F76" s="3"/>
      <c r="G76" s="3"/>
      <c r="H76" s="3"/>
      <c r="I76" s="3"/>
      <c r="J76" s="3"/>
    </row>
    <row r="77" spans="1:10" s="371" customFormat="1" x14ac:dyDescent="0.2">
      <c r="A77" s="3" t="s">
        <v>1766</v>
      </c>
      <c r="B77" s="3"/>
      <c r="C77" s="3"/>
      <c r="D77" s="15">
        <v>125</v>
      </c>
      <c r="E77" s="3"/>
      <c r="F77" s="3"/>
      <c r="G77" s="3"/>
      <c r="H77" s="3"/>
      <c r="I77" s="3"/>
      <c r="J77" s="3"/>
    </row>
    <row r="78" spans="1:10" s="371" customFormat="1" x14ac:dyDescent="0.2">
      <c r="A78" s="3" t="s">
        <v>2108</v>
      </c>
      <c r="B78" s="3"/>
      <c r="C78" s="3"/>
      <c r="D78" s="15">
        <v>21.66</v>
      </c>
      <c r="E78" s="3"/>
      <c r="F78" s="3"/>
      <c r="G78" s="3"/>
      <c r="H78" s="3"/>
      <c r="I78" s="3"/>
      <c r="J78" s="3"/>
    </row>
    <row r="79" spans="1:10" s="371" customFormat="1" x14ac:dyDescent="0.2">
      <c r="A79" s="484" t="s">
        <v>2049</v>
      </c>
      <c r="B79" s="485"/>
      <c r="C79" s="485"/>
      <c r="D79" s="480">
        <f>SUM(D70:D78)</f>
        <v>5379.0499999999993</v>
      </c>
      <c r="E79" s="3"/>
      <c r="F79" s="3">
        <v>5257</v>
      </c>
      <c r="G79" s="3">
        <v>5379</v>
      </c>
      <c r="H79" s="3">
        <v>5379</v>
      </c>
      <c r="I79" s="3">
        <v>5379</v>
      </c>
      <c r="J79" s="3"/>
    </row>
    <row r="80" spans="1:10" s="371" customFormat="1" x14ac:dyDescent="0.2">
      <c r="A80" s="3"/>
      <c r="B80" s="3"/>
      <c r="C80" s="3"/>
      <c r="D80" s="481"/>
      <c r="E80" s="3"/>
      <c r="F80" s="3"/>
      <c r="G80" s="3"/>
      <c r="H80" s="3"/>
      <c r="I80" s="3"/>
      <c r="J80" s="3"/>
    </row>
    <row r="81" spans="1:10" s="371" customFormat="1" x14ac:dyDescent="0.2">
      <c r="A81" s="399"/>
      <c r="B81" s="375"/>
      <c r="C81" s="375"/>
      <c r="D81" s="481" t="s">
        <v>2654</v>
      </c>
      <c r="E81" s="3">
        <v>57438</v>
      </c>
      <c r="F81" s="3"/>
      <c r="G81" s="3"/>
      <c r="H81" s="3"/>
      <c r="I81" s="3"/>
      <c r="J81" s="3"/>
    </row>
    <row r="82" spans="1:10" s="371" customFormat="1" ht="15" x14ac:dyDescent="0.35">
      <c r="A82" s="79" t="s">
        <v>2618</v>
      </c>
      <c r="B82" s="3"/>
      <c r="C82" s="3"/>
      <c r="D82" s="375"/>
      <c r="F82" s="3"/>
      <c r="G82" s="3"/>
      <c r="H82" s="3"/>
      <c r="I82" s="3"/>
      <c r="J82" s="3"/>
    </row>
    <row r="83" spans="1:10" s="371" customFormat="1" x14ac:dyDescent="0.2">
      <c r="A83" s="3" t="s">
        <v>2619</v>
      </c>
      <c r="B83" s="3">
        <v>1440</v>
      </c>
      <c r="C83" s="178">
        <v>21</v>
      </c>
      <c r="D83" s="15">
        <f t="shared" ref="D83" si="1">SUMPRODUCT(B83*C83)</f>
        <v>30240</v>
      </c>
      <c r="E83" s="3"/>
      <c r="F83" s="3"/>
      <c r="G83" s="3"/>
      <c r="H83" s="3"/>
      <c r="I83" s="3"/>
      <c r="J83" s="3"/>
    </row>
    <row r="84" spans="1:10" x14ac:dyDescent="0.2">
      <c r="A84" s="54" t="s">
        <v>2620</v>
      </c>
      <c r="B84" s="3">
        <v>720</v>
      </c>
      <c r="C84" s="396">
        <v>15.25</v>
      </c>
      <c r="D84" s="15">
        <f>SUMPRODUCT(B84*C84)</f>
        <v>10980</v>
      </c>
      <c r="E84" s="3"/>
      <c r="F84" s="3"/>
      <c r="G84" s="3"/>
      <c r="H84" s="3"/>
      <c r="I84" s="3"/>
      <c r="J84" s="3"/>
    </row>
    <row r="85" spans="1:10" ht="15" x14ac:dyDescent="0.35">
      <c r="A85" s="375" t="s">
        <v>2621</v>
      </c>
      <c r="B85" s="375">
        <v>720</v>
      </c>
      <c r="C85" s="375">
        <v>14.25</v>
      </c>
      <c r="D85" s="46">
        <f>SUM(B85*C85)</f>
        <v>10260</v>
      </c>
      <c r="E85" s="3"/>
      <c r="F85" s="3"/>
      <c r="G85" s="3"/>
      <c r="H85" s="3"/>
      <c r="I85" s="3"/>
      <c r="J85" s="3"/>
    </row>
    <row r="86" spans="1:10" x14ac:dyDescent="0.2">
      <c r="A86" s="1" t="s">
        <v>1681</v>
      </c>
      <c r="B86" s="3"/>
      <c r="C86" s="3"/>
      <c r="D86" s="15">
        <f>SUM(D83:D85)</f>
        <v>51480</v>
      </c>
      <c r="E86" s="3"/>
      <c r="F86" s="3"/>
      <c r="G86" s="3"/>
      <c r="H86" s="3"/>
      <c r="I86" s="3"/>
      <c r="J86" s="3"/>
    </row>
    <row r="87" spans="1:10" x14ac:dyDescent="0.2">
      <c r="A87" s="3" t="s">
        <v>680</v>
      </c>
      <c r="B87" s="3">
        <f>+D86:D86</f>
        <v>51480</v>
      </c>
      <c r="C87" s="17">
        <v>7.6499999999999999E-2</v>
      </c>
      <c r="D87" s="15">
        <f>ROUND(B87*C87,0)</f>
        <v>3938</v>
      </c>
      <c r="E87" s="3"/>
      <c r="F87" s="3"/>
      <c r="G87" s="3"/>
      <c r="H87" s="3"/>
      <c r="I87" s="3"/>
      <c r="J87" s="3"/>
    </row>
    <row r="88" spans="1:10" x14ac:dyDescent="0.2">
      <c r="A88" s="3" t="s">
        <v>681</v>
      </c>
      <c r="B88" s="3">
        <f>+D86</f>
        <v>51480</v>
      </c>
      <c r="C88" s="17">
        <v>2.5600000000000001E-2</v>
      </c>
      <c r="D88" s="15">
        <f>ROUND(B88*C88,0)</f>
        <v>1318</v>
      </c>
      <c r="E88" s="3"/>
      <c r="F88" s="3"/>
      <c r="G88" s="3"/>
      <c r="H88" s="3"/>
      <c r="I88" s="3"/>
      <c r="J88" s="3"/>
    </row>
    <row r="89" spans="1:10" x14ac:dyDescent="0.2">
      <c r="A89" s="3" t="s">
        <v>682</v>
      </c>
      <c r="B89" s="3">
        <f>+D86</f>
        <v>51480</v>
      </c>
      <c r="C89" s="17">
        <v>3.3999999999999998E-3</v>
      </c>
      <c r="D89" s="15">
        <f>ROUND(B89*C89,0)</f>
        <v>175</v>
      </c>
      <c r="E89" s="3"/>
      <c r="F89" s="3"/>
      <c r="G89" s="3"/>
      <c r="H89" s="3"/>
      <c r="I89" s="3"/>
      <c r="J89" s="3"/>
    </row>
    <row r="90" spans="1:10" x14ac:dyDescent="0.2">
      <c r="A90" s="3" t="s">
        <v>1682</v>
      </c>
      <c r="B90" s="3"/>
      <c r="C90" s="3"/>
      <c r="D90" s="15">
        <v>10944.42</v>
      </c>
      <c r="E90" s="3"/>
      <c r="F90" s="3"/>
      <c r="G90" s="3"/>
      <c r="H90" s="3"/>
      <c r="I90" s="3"/>
      <c r="J90" s="3"/>
    </row>
    <row r="91" spans="1:10" x14ac:dyDescent="0.2">
      <c r="A91" s="3" t="s">
        <v>1819</v>
      </c>
      <c r="B91" s="3"/>
      <c r="C91" s="3"/>
      <c r="D91" s="15">
        <v>100</v>
      </c>
      <c r="E91" s="3"/>
      <c r="F91" s="3"/>
      <c r="G91" s="3"/>
      <c r="H91" s="3"/>
      <c r="I91" s="3"/>
      <c r="J91" s="3"/>
    </row>
    <row r="92" spans="1:10" x14ac:dyDescent="0.2">
      <c r="A92" s="15" t="s">
        <v>2622</v>
      </c>
      <c r="B92" s="3"/>
      <c r="C92" s="3"/>
      <c r="D92" s="15">
        <v>36000</v>
      </c>
      <c r="E92" s="3"/>
      <c r="F92" s="3"/>
      <c r="G92" s="3"/>
      <c r="H92" s="3"/>
      <c r="I92" s="3"/>
      <c r="J92" s="3"/>
    </row>
    <row r="93" spans="1:10" x14ac:dyDescent="0.2">
      <c r="A93" s="54" t="s">
        <v>2623</v>
      </c>
      <c r="B93" s="3"/>
      <c r="C93" s="3"/>
      <c r="D93" s="15">
        <v>2000</v>
      </c>
      <c r="E93" s="3"/>
      <c r="F93" s="3"/>
      <c r="G93" s="3"/>
      <c r="H93" s="3"/>
      <c r="I93" s="3"/>
      <c r="J93" s="3"/>
    </row>
    <row r="94" spans="1:10" x14ac:dyDescent="0.2">
      <c r="A94" s="375" t="s">
        <v>2624</v>
      </c>
      <c r="B94" s="375"/>
      <c r="C94" s="375"/>
      <c r="D94" s="15">
        <v>500</v>
      </c>
      <c r="E94" s="3"/>
      <c r="F94" s="3"/>
      <c r="G94" s="3"/>
      <c r="H94" s="3"/>
      <c r="I94" s="3"/>
      <c r="J94" s="3"/>
    </row>
    <row r="95" spans="1:10" x14ac:dyDescent="0.2">
      <c r="A95" s="375" t="s">
        <v>2438</v>
      </c>
      <c r="B95" s="375"/>
      <c r="C95" s="375"/>
      <c r="D95" s="15">
        <v>100</v>
      </c>
      <c r="E95" s="3"/>
      <c r="F95" s="3"/>
      <c r="G95" s="3"/>
      <c r="H95" s="3"/>
      <c r="I95" s="3"/>
      <c r="J95" s="3"/>
    </row>
    <row r="96" spans="1:10" x14ac:dyDescent="0.2">
      <c r="A96" s="375" t="s">
        <v>2625</v>
      </c>
      <c r="B96" s="375"/>
      <c r="C96" s="375"/>
      <c r="D96" s="15">
        <v>100</v>
      </c>
      <c r="E96" s="3"/>
      <c r="F96" s="3"/>
      <c r="G96" s="3"/>
      <c r="H96" s="3"/>
      <c r="I96" s="3"/>
      <c r="J96" s="3"/>
    </row>
    <row r="97" spans="1:10" x14ac:dyDescent="0.2">
      <c r="A97" s="375" t="s">
        <v>2626</v>
      </c>
      <c r="B97" s="375"/>
      <c r="C97" s="375"/>
      <c r="D97" s="15">
        <v>200</v>
      </c>
      <c r="E97" s="3"/>
      <c r="F97" s="3"/>
      <c r="G97" s="3"/>
      <c r="H97" s="3"/>
      <c r="I97" s="3"/>
      <c r="J97" s="3"/>
    </row>
    <row r="98" spans="1:10" x14ac:dyDescent="0.2">
      <c r="A98" s="375" t="s">
        <v>2627</v>
      </c>
      <c r="B98" s="375"/>
      <c r="C98" s="375"/>
      <c r="D98" s="15">
        <v>2376</v>
      </c>
      <c r="E98" s="3"/>
      <c r="F98" s="3"/>
      <c r="G98" s="3"/>
      <c r="H98" s="3"/>
      <c r="I98" s="3"/>
      <c r="J98" s="3"/>
    </row>
    <row r="99" spans="1:10" x14ac:dyDescent="0.2">
      <c r="A99" s="3" t="s">
        <v>2108</v>
      </c>
      <c r="B99" s="3"/>
      <c r="C99" s="3"/>
      <c r="D99" s="15">
        <v>702.62</v>
      </c>
      <c r="E99" s="3"/>
      <c r="F99" s="3"/>
      <c r="G99" s="3"/>
      <c r="H99" s="3"/>
      <c r="I99" s="3"/>
      <c r="J99" s="3"/>
    </row>
    <row r="100" spans="1:10" x14ac:dyDescent="0.2">
      <c r="A100" s="375" t="s">
        <v>2628</v>
      </c>
      <c r="B100" s="375"/>
      <c r="C100" s="375"/>
      <c r="D100" s="15">
        <v>22731.57</v>
      </c>
      <c r="E100" s="3"/>
      <c r="F100" s="3"/>
      <c r="G100" s="3"/>
      <c r="H100" s="3"/>
      <c r="I100" s="3"/>
      <c r="J100" s="3"/>
    </row>
    <row r="101" spans="1:10" x14ac:dyDescent="0.2">
      <c r="A101" s="486" t="s">
        <v>2049</v>
      </c>
      <c r="B101" s="487"/>
      <c r="C101" s="487"/>
      <c r="D101" s="480">
        <f>SUM(D86:D100)</f>
        <v>132665.60999999999</v>
      </c>
      <c r="E101" s="3"/>
      <c r="F101" s="3">
        <v>0</v>
      </c>
      <c r="G101" s="3">
        <v>132665.60999999999</v>
      </c>
      <c r="H101" s="3">
        <v>132665.60999999999</v>
      </c>
      <c r="I101" s="3">
        <v>132665.60999999999</v>
      </c>
      <c r="J101" s="3"/>
    </row>
    <row r="102" spans="1:10" x14ac:dyDescent="0.2">
      <c r="A102" s="15"/>
      <c r="B102" s="3"/>
      <c r="C102" s="3"/>
      <c r="D102" s="481"/>
      <c r="E102" s="3"/>
      <c r="F102" s="3"/>
      <c r="G102" s="3"/>
      <c r="H102" s="3"/>
      <c r="I102" s="3"/>
      <c r="J102" s="3"/>
    </row>
    <row r="103" spans="1:10" x14ac:dyDescent="0.2">
      <c r="A103" s="54"/>
      <c r="B103" s="3"/>
      <c r="C103" s="3"/>
      <c r="D103" s="481"/>
      <c r="E103" s="472"/>
      <c r="F103" s="3"/>
      <c r="G103" s="3"/>
      <c r="H103" s="3"/>
      <c r="I103" s="3"/>
      <c r="J103" s="3"/>
    </row>
    <row r="104" spans="1:10" ht="15" x14ac:dyDescent="0.35">
      <c r="A104" s="79" t="s">
        <v>1818</v>
      </c>
      <c r="B104" s="3"/>
      <c r="C104" s="3"/>
      <c r="D104" s="375"/>
      <c r="E104" s="3"/>
      <c r="F104" s="3"/>
      <c r="G104" s="3"/>
      <c r="H104" s="3"/>
      <c r="I104" s="3"/>
      <c r="J104" s="3"/>
    </row>
    <row r="105" spans="1:10" x14ac:dyDescent="0.2">
      <c r="A105" s="3" t="s">
        <v>2629</v>
      </c>
      <c r="B105" s="3">
        <v>120</v>
      </c>
      <c r="C105" s="178">
        <v>21</v>
      </c>
      <c r="D105" s="15">
        <f>SUMPRODUCT(B105*C105)</f>
        <v>2520</v>
      </c>
      <c r="E105" s="3"/>
      <c r="F105" s="3"/>
      <c r="G105" s="3"/>
      <c r="H105" s="3"/>
      <c r="I105" s="3"/>
      <c r="J105" s="3"/>
    </row>
    <row r="106" spans="1:10" x14ac:dyDescent="0.2">
      <c r="A106" s="399" t="s">
        <v>2050</v>
      </c>
      <c r="B106" s="375">
        <v>360</v>
      </c>
      <c r="C106" s="399">
        <v>15.25</v>
      </c>
      <c r="D106" s="15">
        <f>SUMPRODUCT(B106*C106)</f>
        <v>5490</v>
      </c>
      <c r="E106" s="3"/>
      <c r="F106" s="3"/>
      <c r="G106" s="3"/>
      <c r="H106" s="3"/>
      <c r="I106" s="3"/>
      <c r="J106" s="3"/>
    </row>
    <row r="107" spans="1:10" ht="15" x14ac:dyDescent="0.35">
      <c r="A107" s="399" t="s">
        <v>2051</v>
      </c>
      <c r="B107" s="375">
        <v>60</v>
      </c>
      <c r="C107" s="399">
        <v>13.98</v>
      </c>
      <c r="D107" s="46">
        <f>SUMPRODUCT(B107*C107)</f>
        <v>838.80000000000007</v>
      </c>
      <c r="E107" s="3"/>
      <c r="F107" s="3"/>
      <c r="G107" s="3"/>
      <c r="H107" s="3"/>
      <c r="I107" s="3"/>
      <c r="J107" s="3"/>
    </row>
    <row r="108" spans="1:10" x14ac:dyDescent="0.2">
      <c r="A108" s="1" t="s">
        <v>1681</v>
      </c>
      <c r="B108" s="3"/>
      <c r="C108" s="3"/>
      <c r="D108" s="15">
        <f>SUM(D105:D107)</f>
        <v>8848.7999999999993</v>
      </c>
      <c r="E108" s="3"/>
      <c r="F108" s="3"/>
      <c r="G108" s="3"/>
      <c r="H108" s="3"/>
      <c r="I108" s="3"/>
      <c r="J108" s="3"/>
    </row>
    <row r="109" spans="1:10" x14ac:dyDescent="0.2">
      <c r="A109" s="3" t="s">
        <v>680</v>
      </c>
      <c r="B109" s="3">
        <f>+D108:D108</f>
        <v>8848.7999999999993</v>
      </c>
      <c r="C109" s="17">
        <v>7.6499999999999999E-2</v>
      </c>
      <c r="D109" s="15">
        <f>ROUND(B109*C109,0)</f>
        <v>677</v>
      </c>
      <c r="E109" s="3"/>
      <c r="F109" s="3"/>
      <c r="G109" s="3"/>
      <c r="H109" s="3"/>
      <c r="I109" s="3"/>
      <c r="J109" s="3"/>
    </row>
    <row r="110" spans="1:10" x14ac:dyDescent="0.2">
      <c r="A110" s="3" t="s">
        <v>681</v>
      </c>
      <c r="B110" s="3">
        <f>+D108</f>
        <v>8848.7999999999993</v>
      </c>
      <c r="C110" s="17">
        <v>2.5600000000000001E-2</v>
      </c>
      <c r="D110" s="15">
        <f>ROUND(B110*C110,0)</f>
        <v>227</v>
      </c>
      <c r="E110" s="3"/>
      <c r="F110" s="3"/>
      <c r="G110" s="3"/>
      <c r="H110" s="3"/>
      <c r="I110" s="3"/>
      <c r="J110" s="3"/>
    </row>
    <row r="111" spans="1:10" x14ac:dyDescent="0.2">
      <c r="A111" s="3" t="s">
        <v>682</v>
      </c>
      <c r="B111" s="3">
        <f>+D108</f>
        <v>8848.7999999999993</v>
      </c>
      <c r="C111" s="17">
        <v>3.3999999999999998E-3</v>
      </c>
      <c r="D111" s="15">
        <f>ROUND(B111*C111,0)</f>
        <v>30</v>
      </c>
      <c r="E111" s="3"/>
      <c r="F111" s="3"/>
      <c r="G111" s="3"/>
      <c r="H111" s="3"/>
      <c r="I111" s="3"/>
      <c r="J111" s="3"/>
    </row>
    <row r="112" spans="1:10" x14ac:dyDescent="0.2">
      <c r="A112" s="3" t="s">
        <v>1816</v>
      </c>
      <c r="B112" s="3"/>
      <c r="C112" s="3"/>
      <c r="D112" s="15">
        <v>400</v>
      </c>
      <c r="E112" s="3"/>
      <c r="F112" s="3"/>
      <c r="G112" s="3"/>
      <c r="H112" s="3"/>
      <c r="I112" s="3"/>
      <c r="J112" s="3"/>
    </row>
    <row r="113" spans="1:10" x14ac:dyDescent="0.2">
      <c r="A113" s="3" t="s">
        <v>1953</v>
      </c>
      <c r="B113" s="3"/>
      <c r="C113" s="3"/>
      <c r="D113" s="15">
        <v>125</v>
      </c>
      <c r="E113" s="3"/>
      <c r="F113" s="3"/>
      <c r="G113" s="3"/>
      <c r="H113" s="3"/>
      <c r="I113" s="3"/>
      <c r="J113" s="3"/>
    </row>
    <row r="114" spans="1:10" x14ac:dyDescent="0.2">
      <c r="A114" s="3" t="s">
        <v>1820</v>
      </c>
      <c r="B114" s="375"/>
      <c r="C114" s="375"/>
      <c r="D114" s="15">
        <v>650</v>
      </c>
      <c r="E114" s="3"/>
      <c r="F114" s="3"/>
      <c r="G114" s="3"/>
      <c r="H114" s="3"/>
      <c r="I114" s="3"/>
      <c r="J114" s="3"/>
    </row>
    <row r="115" spans="1:10" x14ac:dyDescent="0.2">
      <c r="A115" s="3" t="s">
        <v>1815</v>
      </c>
      <c r="B115" s="3"/>
      <c r="C115" s="3"/>
      <c r="D115" s="15">
        <v>50</v>
      </c>
      <c r="E115" s="3"/>
      <c r="F115" s="3"/>
      <c r="G115" s="3"/>
      <c r="H115" s="3"/>
      <c r="I115" s="3"/>
      <c r="J115" s="3"/>
    </row>
    <row r="116" spans="1:10" x14ac:dyDescent="0.2">
      <c r="A116" s="3" t="s">
        <v>1766</v>
      </c>
      <c r="B116" s="3"/>
      <c r="C116" s="3"/>
      <c r="D116" s="15">
        <v>290</v>
      </c>
      <c r="E116" s="3"/>
      <c r="F116" s="3"/>
      <c r="G116" s="3"/>
      <c r="H116" s="3"/>
      <c r="I116" s="3"/>
      <c r="J116" s="3"/>
    </row>
    <row r="117" spans="1:10" x14ac:dyDescent="0.2">
      <c r="A117" s="3" t="s">
        <v>1682</v>
      </c>
      <c r="B117" s="375"/>
      <c r="C117" s="375"/>
      <c r="D117" s="15">
        <v>1035.8399999999999</v>
      </c>
      <c r="E117" s="3"/>
      <c r="F117" s="3"/>
      <c r="G117" s="3"/>
      <c r="H117" s="3"/>
      <c r="I117" s="3"/>
      <c r="J117" s="3"/>
    </row>
    <row r="118" spans="1:10" x14ac:dyDescent="0.2">
      <c r="A118" s="375" t="s">
        <v>2630</v>
      </c>
      <c r="B118" s="398"/>
      <c r="C118" s="398"/>
      <c r="D118" s="15">
        <v>66.88</v>
      </c>
      <c r="E118" s="3"/>
      <c r="F118" s="3"/>
      <c r="G118" s="3"/>
      <c r="H118" s="3"/>
      <c r="I118" s="3"/>
      <c r="J118" s="3"/>
    </row>
    <row r="119" spans="1:10" x14ac:dyDescent="0.2">
      <c r="A119" s="398" t="s">
        <v>2631</v>
      </c>
      <c r="B119" s="398"/>
      <c r="C119" s="398"/>
      <c r="D119" s="15">
        <v>1894.57</v>
      </c>
      <c r="E119" s="3"/>
      <c r="F119" s="3"/>
      <c r="G119" s="3"/>
      <c r="H119" s="3"/>
      <c r="I119" s="3"/>
      <c r="J119" s="3"/>
    </row>
    <row r="120" spans="1:10" x14ac:dyDescent="0.2">
      <c r="A120" s="486" t="s">
        <v>2049</v>
      </c>
      <c r="B120" s="487"/>
      <c r="C120" s="487"/>
      <c r="D120" s="480">
        <f>SUM(D108:D119)</f>
        <v>14295.089999999998</v>
      </c>
      <c r="E120" s="3"/>
      <c r="F120" s="3">
        <v>10698</v>
      </c>
      <c r="G120" s="3">
        <v>14295.09</v>
      </c>
      <c r="H120" s="3">
        <v>14295.09</v>
      </c>
      <c r="I120" s="3">
        <v>14295.09</v>
      </c>
      <c r="J120" s="3"/>
    </row>
    <row r="121" spans="1:10" x14ac:dyDescent="0.2">
      <c r="A121" s="3"/>
      <c r="B121" s="3"/>
      <c r="C121" s="3"/>
      <c r="D121" s="396"/>
      <c r="E121" s="3"/>
      <c r="F121" s="3"/>
      <c r="G121" s="3"/>
      <c r="H121" s="3"/>
      <c r="I121" s="3"/>
      <c r="J121" s="3"/>
    </row>
    <row r="122" spans="1:10" x14ac:dyDescent="0.2">
      <c r="A122" s="3"/>
      <c r="B122" s="3"/>
      <c r="C122" s="3"/>
      <c r="D122" s="396"/>
      <c r="E122" s="3"/>
      <c r="F122" s="3"/>
      <c r="G122" s="3"/>
      <c r="H122" s="3"/>
      <c r="I122" s="3"/>
      <c r="J122" s="3"/>
    </row>
    <row r="123" spans="1:10" ht="15" x14ac:dyDescent="0.35">
      <c r="A123" s="79" t="s">
        <v>2632</v>
      </c>
      <c r="B123" s="3"/>
      <c r="C123" s="3"/>
      <c r="D123" s="375"/>
      <c r="E123" s="3"/>
      <c r="F123" s="3"/>
      <c r="G123" s="3"/>
      <c r="H123" s="3"/>
      <c r="I123" s="3"/>
      <c r="J123" s="3"/>
    </row>
    <row r="124" spans="1:10" x14ac:dyDescent="0.2">
      <c r="A124" s="3" t="s">
        <v>2633</v>
      </c>
      <c r="B124" s="3">
        <v>52</v>
      </c>
      <c r="C124" s="178">
        <v>21</v>
      </c>
      <c r="D124" s="15">
        <f>SUMPRODUCT(B124*C124)</f>
        <v>1092</v>
      </c>
      <c r="E124" s="3"/>
      <c r="F124" s="3"/>
      <c r="G124" s="3"/>
      <c r="H124" s="3"/>
      <c r="I124" s="3"/>
      <c r="J124" s="3"/>
    </row>
    <row r="125" spans="1:10" x14ac:dyDescent="0.2">
      <c r="A125" s="399" t="s">
        <v>2634</v>
      </c>
      <c r="B125" s="375">
        <v>26</v>
      </c>
      <c r="C125" s="399">
        <v>15.25</v>
      </c>
      <c r="D125" s="15">
        <f>SUMPRODUCT(B125*C125)</f>
        <v>396.5</v>
      </c>
      <c r="E125" s="3"/>
      <c r="F125" s="3"/>
      <c r="G125" s="3"/>
      <c r="H125" s="3"/>
      <c r="I125" s="3"/>
      <c r="J125" s="3"/>
    </row>
    <row r="126" spans="1:10" ht="15" x14ac:dyDescent="0.35">
      <c r="A126" s="399" t="s">
        <v>2635</v>
      </c>
      <c r="B126" s="375">
        <v>26</v>
      </c>
      <c r="C126" s="399">
        <v>14.25</v>
      </c>
      <c r="D126" s="46">
        <f>SUMPRODUCT(B126*C126)</f>
        <v>370.5</v>
      </c>
      <c r="E126" s="3"/>
      <c r="F126" s="3"/>
      <c r="G126" s="3"/>
      <c r="H126" s="3"/>
      <c r="I126" s="3"/>
      <c r="J126" s="3"/>
    </row>
    <row r="127" spans="1:10" x14ac:dyDescent="0.2">
      <c r="A127" s="1" t="s">
        <v>1681</v>
      </c>
      <c r="B127" s="3"/>
      <c r="C127" s="3"/>
      <c r="D127" s="15">
        <f>SUM(D124:D126)</f>
        <v>1859</v>
      </c>
      <c r="E127" s="228"/>
      <c r="F127" s="228"/>
      <c r="G127" s="228"/>
      <c r="H127" s="228"/>
      <c r="I127" s="228"/>
      <c r="J127" s="228"/>
    </row>
    <row r="128" spans="1:10" x14ac:dyDescent="0.2">
      <c r="A128" s="3" t="s">
        <v>680</v>
      </c>
      <c r="B128" s="3">
        <f>+D127:D127</f>
        <v>1859</v>
      </c>
      <c r="C128" s="17">
        <v>7.6499999999999999E-2</v>
      </c>
      <c r="D128" s="15">
        <f>ROUND(B128*C128,0)</f>
        <v>142</v>
      </c>
      <c r="E128" s="228"/>
      <c r="F128" s="228"/>
      <c r="G128" s="228"/>
      <c r="H128" s="228"/>
      <c r="I128" s="228"/>
      <c r="J128" s="228"/>
    </row>
    <row r="129" spans="1:10" x14ac:dyDescent="0.2">
      <c r="A129" s="3" t="s">
        <v>681</v>
      </c>
      <c r="B129" s="3">
        <f>+D127</f>
        <v>1859</v>
      </c>
      <c r="C129" s="17">
        <v>2.5600000000000001E-2</v>
      </c>
      <c r="D129" s="15">
        <f>ROUND(B129*C129,0)</f>
        <v>48</v>
      </c>
      <c r="E129" s="228"/>
      <c r="F129" s="228"/>
      <c r="G129" s="228"/>
      <c r="H129" s="228"/>
      <c r="I129" s="228"/>
      <c r="J129" s="228"/>
    </row>
    <row r="130" spans="1:10" x14ac:dyDescent="0.2">
      <c r="A130" s="3" t="s">
        <v>682</v>
      </c>
      <c r="B130" s="3">
        <f>+D127</f>
        <v>1859</v>
      </c>
      <c r="C130" s="17">
        <v>3.3999999999999998E-3</v>
      </c>
      <c r="D130" s="15">
        <f>ROUND(B130*C130,0)</f>
        <v>6</v>
      </c>
      <c r="E130" s="228"/>
      <c r="F130" s="228"/>
      <c r="G130" s="228"/>
      <c r="H130" s="228"/>
      <c r="I130" s="228"/>
      <c r="J130" s="228"/>
    </row>
    <row r="131" spans="1:10" x14ac:dyDescent="0.2">
      <c r="A131" s="3" t="s">
        <v>1816</v>
      </c>
      <c r="B131" s="3"/>
      <c r="C131" s="3"/>
      <c r="D131" s="15">
        <v>25</v>
      </c>
      <c r="E131" s="228"/>
      <c r="F131" s="228"/>
      <c r="G131" s="228"/>
      <c r="H131" s="228"/>
      <c r="I131" s="228"/>
      <c r="J131" s="228"/>
    </row>
    <row r="132" spans="1:10" x14ac:dyDescent="0.2">
      <c r="A132" s="3" t="s">
        <v>2636</v>
      </c>
      <c r="B132" s="3"/>
      <c r="C132" s="3"/>
      <c r="D132" s="15">
        <v>75</v>
      </c>
      <c r="E132" s="228"/>
      <c r="F132" s="228"/>
      <c r="G132" s="228"/>
      <c r="H132" s="228"/>
      <c r="I132" s="228"/>
      <c r="J132" s="228"/>
    </row>
    <row r="133" spans="1:10" x14ac:dyDescent="0.2">
      <c r="A133" s="3" t="s">
        <v>1820</v>
      </c>
      <c r="B133" s="375"/>
      <c r="C133" s="375"/>
      <c r="D133" s="15">
        <v>700</v>
      </c>
      <c r="E133" s="228"/>
      <c r="F133" s="228"/>
      <c r="G133" s="228"/>
      <c r="H133" s="228"/>
      <c r="I133" s="228"/>
      <c r="J133" s="228"/>
    </row>
    <row r="134" spans="1:10" x14ac:dyDescent="0.2">
      <c r="A134" s="3" t="s">
        <v>1766</v>
      </c>
      <c r="B134" s="3"/>
      <c r="C134" s="3"/>
      <c r="D134" s="15">
        <v>99</v>
      </c>
      <c r="E134" s="228"/>
      <c r="F134" s="228"/>
      <c r="G134" s="228"/>
      <c r="H134" s="228"/>
      <c r="I134" s="228"/>
      <c r="J134" s="228"/>
    </row>
    <row r="135" spans="1:10" x14ac:dyDescent="0.2">
      <c r="A135" s="3" t="s">
        <v>1682</v>
      </c>
      <c r="B135" s="375"/>
      <c r="C135" s="375"/>
      <c r="D135" s="15">
        <v>384.74</v>
      </c>
      <c r="E135" s="228"/>
      <c r="F135" s="228"/>
      <c r="G135" s="228"/>
      <c r="H135" s="228"/>
      <c r="I135" s="228"/>
      <c r="J135" s="228"/>
    </row>
    <row r="136" spans="1:10" x14ac:dyDescent="0.2">
      <c r="A136" s="375" t="s">
        <v>2630</v>
      </c>
      <c r="B136" s="398"/>
      <c r="C136" s="398"/>
      <c r="D136" s="15">
        <v>25.08</v>
      </c>
      <c r="E136" s="228"/>
      <c r="F136" s="228"/>
      <c r="G136" s="228"/>
      <c r="H136" s="228"/>
      <c r="I136" s="228"/>
      <c r="J136" s="228"/>
    </row>
    <row r="137" spans="1:10" x14ac:dyDescent="0.2">
      <c r="A137" s="486" t="s">
        <v>2049</v>
      </c>
      <c r="B137" s="487"/>
      <c r="C137" s="487"/>
      <c r="D137" s="480">
        <f>SUM(D126:D136)</f>
        <v>3734.3199999999997</v>
      </c>
      <c r="E137" s="228"/>
      <c r="F137" s="228">
        <v>0</v>
      </c>
      <c r="G137" s="228">
        <v>3734.32</v>
      </c>
      <c r="H137" s="228">
        <v>3734.32</v>
      </c>
      <c r="I137" s="228">
        <v>3734.32</v>
      </c>
      <c r="J137" s="228"/>
    </row>
    <row r="138" spans="1:10" x14ac:dyDescent="0.2">
      <c r="A138" s="3"/>
      <c r="B138" s="3"/>
      <c r="C138" s="17"/>
      <c r="D138" s="178"/>
      <c r="E138" s="3"/>
      <c r="F138" s="3"/>
      <c r="G138" s="3"/>
      <c r="H138" s="3"/>
      <c r="I138" s="3"/>
      <c r="J138" s="3"/>
    </row>
    <row r="139" spans="1:10" x14ac:dyDescent="0.2">
      <c r="A139" s="3"/>
      <c r="B139" s="3"/>
      <c r="C139" s="3"/>
      <c r="D139" s="396"/>
      <c r="E139" s="3"/>
      <c r="F139" s="3"/>
      <c r="G139" s="3"/>
      <c r="H139" s="3"/>
      <c r="I139" s="3"/>
      <c r="J139" s="3"/>
    </row>
    <row r="140" spans="1:10" x14ac:dyDescent="0.2">
      <c r="A140" s="400" t="s">
        <v>2052</v>
      </c>
      <c r="B140" s="375"/>
      <c r="C140" s="375"/>
      <c r="D140" s="375"/>
      <c r="E140" s="3"/>
      <c r="F140" s="3"/>
      <c r="G140" s="3"/>
      <c r="H140" s="3"/>
      <c r="I140" s="3"/>
      <c r="J140" s="3"/>
    </row>
    <row r="141" spans="1:10" x14ac:dyDescent="0.2">
      <c r="A141" s="3" t="s">
        <v>2637</v>
      </c>
      <c r="B141" s="3"/>
      <c r="C141" s="178"/>
      <c r="D141" s="329"/>
      <c r="E141" s="3"/>
      <c r="F141" s="3"/>
      <c r="G141" s="3"/>
      <c r="H141" s="3"/>
      <c r="I141" s="3"/>
      <c r="J141" s="3"/>
    </row>
    <row r="142" spans="1:10" x14ac:dyDescent="0.2">
      <c r="A142" s="1" t="s">
        <v>1681</v>
      </c>
      <c r="B142" s="3"/>
      <c r="C142" s="3"/>
      <c r="D142" s="15">
        <f>SUM(D141:D141)</f>
        <v>0</v>
      </c>
      <c r="E142" s="3"/>
      <c r="F142" s="3"/>
      <c r="G142" s="3"/>
      <c r="H142" s="3"/>
      <c r="I142" s="3"/>
      <c r="J142" s="3"/>
    </row>
    <row r="143" spans="1:10" x14ac:dyDescent="0.2">
      <c r="A143" s="3" t="s">
        <v>680</v>
      </c>
      <c r="B143" s="3">
        <f>+D142:D142</f>
        <v>0</v>
      </c>
      <c r="C143" s="17">
        <v>7.6499999999999999E-2</v>
      </c>
      <c r="D143" s="15">
        <f>ROUND(B143*C143,0)</f>
        <v>0</v>
      </c>
      <c r="E143" s="3"/>
      <c r="F143" s="3"/>
      <c r="G143" s="3"/>
      <c r="H143" s="3"/>
      <c r="I143" s="3"/>
      <c r="J143" s="3"/>
    </row>
    <row r="144" spans="1:10" x14ac:dyDescent="0.2">
      <c r="A144" s="3" t="s">
        <v>681</v>
      </c>
      <c r="B144" s="3">
        <f>+D142</f>
        <v>0</v>
      </c>
      <c r="C144" s="17">
        <v>2.5600000000000001E-2</v>
      </c>
      <c r="D144" s="15">
        <f>ROUND(B144*C144,0)</f>
        <v>0</v>
      </c>
      <c r="E144" s="3"/>
      <c r="F144" s="3"/>
      <c r="G144" s="3"/>
      <c r="H144" s="3"/>
      <c r="I144" s="3"/>
      <c r="J144" s="3"/>
    </row>
    <row r="145" spans="1:10" x14ac:dyDescent="0.2">
      <c r="A145" s="3" t="s">
        <v>682</v>
      </c>
      <c r="B145" s="3">
        <f>+D142</f>
        <v>0</v>
      </c>
      <c r="C145" s="17">
        <v>3.3999999999999998E-3</v>
      </c>
      <c r="D145" s="15">
        <f>ROUND(B145*C145,0)</f>
        <v>0</v>
      </c>
      <c r="E145" s="3"/>
      <c r="F145" s="3"/>
      <c r="G145" s="3"/>
      <c r="H145" s="3"/>
      <c r="I145" s="3"/>
      <c r="J145" s="3"/>
    </row>
    <row r="146" spans="1:10" x14ac:dyDescent="0.2">
      <c r="A146" s="3" t="s">
        <v>2638</v>
      </c>
      <c r="B146" s="3"/>
      <c r="C146" s="3"/>
      <c r="D146" s="15">
        <v>650</v>
      </c>
      <c r="E146" s="3"/>
      <c r="F146" s="3"/>
      <c r="G146" s="3"/>
      <c r="H146" s="3"/>
      <c r="I146" s="3"/>
      <c r="J146" s="3"/>
    </row>
    <row r="147" spans="1:10" x14ac:dyDescent="0.2">
      <c r="A147" s="3" t="s">
        <v>2639</v>
      </c>
      <c r="B147" s="3"/>
      <c r="C147" s="3"/>
      <c r="D147" s="15">
        <v>8250</v>
      </c>
      <c r="E147" s="3"/>
      <c r="F147" s="3"/>
      <c r="G147" s="3"/>
      <c r="H147" s="3"/>
      <c r="I147" s="3"/>
      <c r="J147" s="3"/>
    </row>
    <row r="148" spans="1:10" x14ac:dyDescent="0.2">
      <c r="A148" s="3" t="s">
        <v>1766</v>
      </c>
      <c r="B148" s="3"/>
      <c r="C148" s="3"/>
      <c r="D148" s="15">
        <v>275</v>
      </c>
      <c r="E148" s="3"/>
      <c r="F148" s="472"/>
      <c r="G148" s="472"/>
      <c r="H148" s="491"/>
      <c r="I148" s="557"/>
      <c r="J148" s="557"/>
    </row>
    <row r="149" spans="1:10" x14ac:dyDescent="0.2">
      <c r="A149" s="3" t="s">
        <v>1682</v>
      </c>
      <c r="B149" s="3"/>
      <c r="C149" s="3"/>
      <c r="D149" s="15">
        <v>1071.3599999999999</v>
      </c>
      <c r="E149" s="3"/>
      <c r="F149" s="3"/>
      <c r="G149" s="3"/>
      <c r="H149" s="3"/>
      <c r="I149" s="3"/>
      <c r="J149" s="3"/>
    </row>
    <row r="150" spans="1:10" x14ac:dyDescent="0.2">
      <c r="A150" s="3" t="s">
        <v>2108</v>
      </c>
      <c r="B150" s="375"/>
      <c r="C150" s="375"/>
      <c r="D150" s="15">
        <v>68.400000000000006</v>
      </c>
      <c r="E150" s="3"/>
      <c r="F150" s="3"/>
      <c r="G150" s="3"/>
      <c r="H150" s="3"/>
      <c r="I150" s="3"/>
      <c r="J150" s="3"/>
    </row>
    <row r="151" spans="1:10" x14ac:dyDescent="0.2">
      <c r="A151" s="488" t="s">
        <v>2049</v>
      </c>
      <c r="B151" s="489"/>
      <c r="C151" s="489"/>
      <c r="D151" s="480">
        <f>SUM(D142:D150)</f>
        <v>10314.76</v>
      </c>
      <c r="E151" s="3"/>
      <c r="F151" s="3">
        <v>8082</v>
      </c>
      <c r="G151" s="3">
        <v>10314.76</v>
      </c>
      <c r="H151" s="3">
        <v>10314.76</v>
      </c>
      <c r="I151" s="3">
        <v>10314.76</v>
      </c>
      <c r="J151" s="3"/>
    </row>
    <row r="152" spans="1:10" x14ac:dyDescent="0.2">
      <c r="A152" s="3" t="s">
        <v>1820</v>
      </c>
      <c r="B152" s="224"/>
      <c r="C152" s="224"/>
      <c r="D152" s="355"/>
      <c r="E152" s="3"/>
      <c r="F152" s="3"/>
      <c r="G152" s="3"/>
      <c r="H152" s="3"/>
      <c r="I152" s="3"/>
      <c r="J152" s="3"/>
    </row>
    <row r="153" spans="1:10" x14ac:dyDescent="0.2">
      <c r="A153" s="3" t="s">
        <v>1815</v>
      </c>
      <c r="B153" s="3"/>
      <c r="C153" s="3"/>
      <c r="D153" s="355"/>
      <c r="E153" s="3"/>
      <c r="F153" s="3"/>
      <c r="G153" s="3"/>
      <c r="H153" s="3"/>
      <c r="I153" s="3"/>
      <c r="J153" s="3"/>
    </row>
    <row r="154" spans="1:10" x14ac:dyDescent="0.2">
      <c r="A154" s="3" t="s">
        <v>1766</v>
      </c>
      <c r="B154" s="3"/>
      <c r="C154" s="3"/>
      <c r="D154" s="356"/>
      <c r="E154" s="3"/>
      <c r="F154" s="3"/>
      <c r="G154" s="3"/>
      <c r="H154" s="3"/>
      <c r="I154" s="3"/>
      <c r="J154" s="3"/>
    </row>
    <row r="155" spans="1:10" ht="15" x14ac:dyDescent="0.25">
      <c r="A155" s="354" t="s">
        <v>1612</v>
      </c>
      <c r="B155" s="224"/>
      <c r="C155" s="224"/>
      <c r="D155" s="3"/>
      <c r="E155" s="3"/>
      <c r="F155" s="3">
        <v>0</v>
      </c>
      <c r="G155" s="3">
        <v>0</v>
      </c>
      <c r="H155" s="3">
        <v>0</v>
      </c>
      <c r="I155" s="3">
        <v>0</v>
      </c>
      <c r="J155" s="3"/>
    </row>
    <row r="156" spans="1:10" s="472" customFormat="1" ht="15" x14ac:dyDescent="0.25">
      <c r="A156" s="354"/>
      <c r="B156" s="224"/>
      <c r="C156" s="224"/>
      <c r="D156" s="3"/>
      <c r="E156" s="3"/>
      <c r="F156" s="3"/>
      <c r="G156" s="3"/>
      <c r="H156" s="3"/>
      <c r="I156" s="3"/>
      <c r="J156" s="3"/>
    </row>
    <row r="157" spans="1:10" s="472" customFormat="1" ht="15" x14ac:dyDescent="0.25">
      <c r="A157" s="354" t="s">
        <v>2653</v>
      </c>
      <c r="F157" s="230">
        <v>2580</v>
      </c>
      <c r="G157" s="3">
        <v>0</v>
      </c>
      <c r="H157" s="3">
        <v>0</v>
      </c>
      <c r="I157" s="3">
        <v>0</v>
      </c>
      <c r="J157" s="3"/>
    </row>
    <row r="158" spans="1:10" s="472" customFormat="1" x14ac:dyDescent="0.2">
      <c r="I158" s="557"/>
      <c r="J158" s="557"/>
    </row>
    <row r="159" spans="1:10" s="472" customFormat="1" ht="15" x14ac:dyDescent="0.25">
      <c r="A159" s="354" t="s">
        <v>2651</v>
      </c>
      <c r="B159" s="224"/>
      <c r="C159" s="224"/>
      <c r="D159" s="3"/>
      <c r="E159" s="3"/>
      <c r="F159" s="3">
        <v>2418</v>
      </c>
      <c r="G159" s="3">
        <v>0</v>
      </c>
      <c r="H159" s="3">
        <v>0</v>
      </c>
      <c r="I159" s="3">
        <v>0</v>
      </c>
      <c r="J159" s="3"/>
    </row>
    <row r="160" spans="1:10" s="472" customFormat="1" ht="15" x14ac:dyDescent="0.25">
      <c r="A160" s="354"/>
      <c r="B160" s="224"/>
      <c r="C160" s="224"/>
      <c r="D160" s="3"/>
      <c r="E160" s="3"/>
      <c r="F160" s="3"/>
      <c r="G160" s="3"/>
      <c r="H160" s="3"/>
      <c r="I160" s="3"/>
      <c r="J160" s="3"/>
    </row>
    <row r="161" spans="1:10" s="472" customFormat="1" ht="15" x14ac:dyDescent="0.25">
      <c r="A161" s="354" t="s">
        <v>2652</v>
      </c>
      <c r="B161" s="224"/>
      <c r="C161" s="224"/>
      <c r="D161" s="3"/>
      <c r="E161" s="3"/>
      <c r="F161" s="3">
        <v>5827</v>
      </c>
      <c r="G161" s="3">
        <v>0</v>
      </c>
      <c r="H161" s="3">
        <v>0</v>
      </c>
      <c r="I161" s="3">
        <v>0</v>
      </c>
      <c r="J161" s="3"/>
    </row>
    <row r="162" spans="1:10" s="472" customFormat="1" ht="15" x14ac:dyDescent="0.25">
      <c r="A162" s="354"/>
      <c r="B162" s="449"/>
      <c r="C162" s="452"/>
      <c r="D162" s="3"/>
      <c r="E162" s="3"/>
      <c r="F162" s="3"/>
      <c r="G162" s="3"/>
      <c r="H162" s="3"/>
      <c r="I162" s="3"/>
      <c r="J162" s="3"/>
    </row>
    <row r="163" spans="1:10" s="472" customFormat="1" ht="15" x14ac:dyDescent="0.25">
      <c r="A163" s="354"/>
      <c r="B163" s="452"/>
      <c r="C163" s="224"/>
      <c r="D163" s="3"/>
      <c r="E163" s="37"/>
      <c r="F163" s="37"/>
      <c r="G163" s="37"/>
      <c r="H163" s="37"/>
      <c r="I163" s="37"/>
      <c r="J163" s="37"/>
    </row>
    <row r="164" spans="1:10" s="472" customFormat="1" x14ac:dyDescent="0.2">
      <c r="A164" s="3" t="s">
        <v>1822</v>
      </c>
      <c r="B164" s="450"/>
      <c r="C164" s="224"/>
      <c r="D164" s="3"/>
      <c r="E164" s="1">
        <f>SUM(E9:E163)</f>
        <v>306728</v>
      </c>
      <c r="F164" s="1">
        <f t="shared" ref="F164:H164" si="2">SUM(F9:F163)</f>
        <v>329130</v>
      </c>
      <c r="G164" s="1">
        <f t="shared" si="2"/>
        <v>613584.17999999993</v>
      </c>
      <c r="H164" s="1">
        <f t="shared" si="2"/>
        <v>613584.17999999993</v>
      </c>
      <c r="I164" s="1">
        <f t="shared" ref="I164:J164" si="3">SUM(I9:I163)</f>
        <v>613584.17999999993</v>
      </c>
      <c r="J164" s="1">
        <f t="shared" si="3"/>
        <v>0</v>
      </c>
    </row>
    <row r="165" spans="1:10" x14ac:dyDescent="0.2">
      <c r="I165" s="3">
        <f>SUM(I9:I164)</f>
        <v>1227168.3599999999</v>
      </c>
      <c r="J165" s="3">
        <f>SUM(J9:J164)</f>
        <v>0</v>
      </c>
    </row>
    <row r="166" spans="1:10" x14ac:dyDescent="0.2">
      <c r="D166" s="3"/>
      <c r="E166" s="3"/>
      <c r="F166" s="3"/>
      <c r="G166" s="3"/>
      <c r="H166" s="3"/>
      <c r="I166" s="3"/>
      <c r="J166" s="3"/>
    </row>
    <row r="167" spans="1:10" x14ac:dyDescent="0.2">
      <c r="D167" s="3"/>
      <c r="I167" s="413"/>
    </row>
    <row r="168" spans="1:10" x14ac:dyDescent="0.2">
      <c r="D168" s="3"/>
      <c r="I168" s="413"/>
    </row>
    <row r="169" spans="1:10" x14ac:dyDescent="0.2">
      <c r="D169" s="3"/>
      <c r="I169" s="413"/>
    </row>
    <row r="170" spans="1:10" x14ac:dyDescent="0.2">
      <c r="D170" s="3"/>
      <c r="I170" s="413"/>
    </row>
    <row r="171" spans="1:10" x14ac:dyDescent="0.2">
      <c r="D171" s="3"/>
      <c r="I171" s="413"/>
    </row>
    <row r="172" spans="1:10" x14ac:dyDescent="0.2">
      <c r="D172" s="3"/>
      <c r="I172" s="413"/>
    </row>
    <row r="173" spans="1:10" x14ac:dyDescent="0.2">
      <c r="D173" s="3"/>
      <c r="I173" s="413"/>
    </row>
    <row r="174" spans="1:10" x14ac:dyDescent="0.2">
      <c r="D174" s="3"/>
      <c r="I174" s="413"/>
    </row>
    <row r="175" spans="1:10" x14ac:dyDescent="0.2">
      <c r="D175" s="3"/>
      <c r="I175" s="413"/>
    </row>
    <row r="176" spans="1:10" x14ac:dyDescent="0.2">
      <c r="D176" s="3"/>
      <c r="I176" s="413"/>
    </row>
    <row r="177" spans="4:9" x14ac:dyDescent="0.2">
      <c r="D177" s="3"/>
      <c r="I177" s="413"/>
    </row>
    <row r="178" spans="4:9" x14ac:dyDescent="0.2">
      <c r="D178" s="3"/>
      <c r="I178" s="413"/>
    </row>
    <row r="179" spans="4:9" x14ac:dyDescent="0.2">
      <c r="D179" s="3"/>
      <c r="I179" s="413"/>
    </row>
    <row r="180" spans="4:9" x14ac:dyDescent="0.2">
      <c r="D180" s="3"/>
      <c r="I180" s="413"/>
    </row>
    <row r="181" spans="4:9" x14ac:dyDescent="0.2">
      <c r="D181" s="3"/>
      <c r="I181" s="413"/>
    </row>
    <row r="182" spans="4:9" x14ac:dyDescent="0.2">
      <c r="D182" s="3"/>
      <c r="I182" s="413"/>
    </row>
    <row r="183" spans="4:9" x14ac:dyDescent="0.2">
      <c r="D183" s="3"/>
      <c r="I183" s="413"/>
    </row>
    <row r="184" spans="4:9" x14ac:dyDescent="0.2">
      <c r="D184" s="3"/>
      <c r="I184" s="413"/>
    </row>
    <row r="185" spans="4:9" x14ac:dyDescent="0.2">
      <c r="D185" s="3"/>
      <c r="I185" s="413"/>
    </row>
    <row r="186" spans="4:9" x14ac:dyDescent="0.2">
      <c r="D186" s="3"/>
      <c r="I186" s="413"/>
    </row>
    <row r="187" spans="4:9" x14ac:dyDescent="0.2">
      <c r="D187" s="3"/>
      <c r="I187" s="413"/>
    </row>
    <row r="188" spans="4:9" x14ac:dyDescent="0.2">
      <c r="D188" s="3"/>
      <c r="I188" s="413"/>
    </row>
    <row r="189" spans="4:9" x14ac:dyDescent="0.2">
      <c r="D189" s="3"/>
      <c r="I189" s="413"/>
    </row>
    <row r="190" spans="4:9" x14ac:dyDescent="0.2">
      <c r="D190" s="3"/>
      <c r="I190" s="413"/>
    </row>
    <row r="191" spans="4:9" x14ac:dyDescent="0.2">
      <c r="D191" s="3"/>
      <c r="I191" s="413"/>
    </row>
    <row r="192" spans="4:9" x14ac:dyDescent="0.2">
      <c r="I192" s="413"/>
    </row>
    <row r="193" spans="9:9" x14ac:dyDescent="0.2">
      <c r="I193" s="413"/>
    </row>
    <row r="194" spans="9:9" x14ac:dyDescent="0.2">
      <c r="I194" s="413"/>
    </row>
    <row r="195" spans="9:9" x14ac:dyDescent="0.2">
      <c r="I195" s="413"/>
    </row>
    <row r="196" spans="9:9" x14ac:dyDescent="0.2">
      <c r="I196" s="413"/>
    </row>
    <row r="197" spans="9:9" x14ac:dyDescent="0.2">
      <c r="I197" s="413"/>
    </row>
    <row r="198" spans="9:9" x14ac:dyDescent="0.2">
      <c r="I198" s="413"/>
    </row>
    <row r="199" spans="9:9" x14ac:dyDescent="0.2">
      <c r="I199" s="413"/>
    </row>
    <row r="200" spans="9:9" x14ac:dyDescent="0.2">
      <c r="I200" s="413"/>
    </row>
    <row r="201" spans="9:9" x14ac:dyDescent="0.2">
      <c r="I201" s="413"/>
    </row>
    <row r="202" spans="9:9" x14ac:dyDescent="0.2">
      <c r="I202" s="413"/>
    </row>
    <row r="203" spans="9:9" x14ac:dyDescent="0.2">
      <c r="I203" s="413"/>
    </row>
    <row r="204" spans="9:9" x14ac:dyDescent="0.2">
      <c r="I204" s="413"/>
    </row>
    <row r="205" spans="9:9" x14ac:dyDescent="0.2">
      <c r="I205" s="413"/>
    </row>
    <row r="206" spans="9:9" x14ac:dyDescent="0.2">
      <c r="I206" s="413"/>
    </row>
    <row r="207" spans="9:9" x14ac:dyDescent="0.2">
      <c r="I207" s="413"/>
    </row>
    <row r="208" spans="9:9" x14ac:dyDescent="0.2">
      <c r="I208" s="413"/>
    </row>
    <row r="209" spans="9:9" x14ac:dyDescent="0.2">
      <c r="I209" s="413"/>
    </row>
    <row r="210" spans="9:9" x14ac:dyDescent="0.2">
      <c r="I210" s="413"/>
    </row>
    <row r="211" spans="9:9" x14ac:dyDescent="0.2">
      <c r="I211" s="413"/>
    </row>
    <row r="212" spans="9:9" x14ac:dyDescent="0.2">
      <c r="I212" s="413"/>
    </row>
  </sheetData>
  <mergeCells count="2">
    <mergeCell ref="A1:I1"/>
    <mergeCell ref="A6:F6"/>
  </mergeCells>
  <printOptions gridLines="1"/>
  <pageMargins left="0.75" right="0.16" top="0.51" bottom="0.22" header="0.5" footer="0"/>
  <pageSetup scale="85" fitToHeight="7" orientation="landscape" r:id="rId1"/>
  <headerFooter alignWithMargins="0"/>
  <rowBreaks count="3" manualBreakCount="3">
    <brk id="49" max="9" man="1"/>
    <brk id="80" max="9" man="1"/>
    <brk id="122"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4:J159"/>
  <sheetViews>
    <sheetView topLeftCell="C133" workbookViewId="0">
      <selection activeCell="I157" sqref="I157"/>
    </sheetView>
  </sheetViews>
  <sheetFormatPr defaultRowHeight="12.75" x14ac:dyDescent="0.2"/>
  <cols>
    <col min="1" max="1" width="55.85546875" bestFit="1" customWidth="1"/>
    <col min="2" max="2" width="16.42578125" customWidth="1"/>
    <col min="3" max="3" width="16.28515625" customWidth="1"/>
    <col min="4" max="4" width="14.7109375" customWidth="1"/>
    <col min="5" max="5" width="16" customWidth="1"/>
    <col min="6" max="6" width="18" customWidth="1"/>
    <col min="7" max="7" width="23.140625" bestFit="1" customWidth="1"/>
    <col min="8" max="11" width="17.85546875" bestFit="1" customWidth="1"/>
  </cols>
  <sheetData>
    <row r="4" spans="1:6" x14ac:dyDescent="0.2">
      <c r="B4" s="19" t="s">
        <v>250</v>
      </c>
      <c r="C4" s="19" t="s">
        <v>251</v>
      </c>
      <c r="D4" s="19" t="s">
        <v>251</v>
      </c>
      <c r="E4" s="19" t="s">
        <v>2370</v>
      </c>
    </row>
    <row r="5" spans="1:6" ht="15" x14ac:dyDescent="0.35">
      <c r="B5" s="367" t="s">
        <v>2163</v>
      </c>
      <c r="C5" s="367" t="s">
        <v>2290</v>
      </c>
      <c r="D5" s="367" t="s">
        <v>2507</v>
      </c>
      <c r="E5" s="367" t="s">
        <v>250</v>
      </c>
    </row>
    <row r="6" spans="1:6" ht="13.5" x14ac:dyDescent="0.25">
      <c r="A6" s="368" t="s">
        <v>2310</v>
      </c>
      <c r="B6" s="435">
        <f>'24-tax coll'!E6+'01-gen gov'!E6</f>
        <v>111751</v>
      </c>
      <c r="C6" s="435">
        <f>'24-tax coll'!F6+'01-gen gov'!F6</f>
        <v>112652</v>
      </c>
      <c r="D6" s="435">
        <f>'24-tax coll'!G6+'01-gen gov'!G6</f>
        <v>112652</v>
      </c>
      <c r="E6" s="217">
        <f>D6-C6</f>
        <v>0</v>
      </c>
    </row>
    <row r="7" spans="1:6" ht="13.5" x14ac:dyDescent="0.25">
      <c r="A7" s="368" t="s">
        <v>2368</v>
      </c>
      <c r="B7" s="435">
        <f>'03-fire'!E6+'04-police'!E6+'06-code enforcement'!E6+'07-pub works'!E6+'08-highway'!E6+'21-comm dev'!E6+'24-tax coll'!E11+'10-wastewater'!E6</f>
        <v>590893</v>
      </c>
      <c r="C7" s="435">
        <f>'03-fire'!F6+'04-police'!F6+'06-code enforcement'!F6+'07-pub works'!F6+'08-highway'!F6+'21-comm dev'!F6+'24-tax coll'!F11+'10-wastewater'!F6</f>
        <v>649831</v>
      </c>
      <c r="D7" s="435">
        <f>'03-fire'!G6+'04-police'!G6+'06-code enforcement'!G6+'07-pub works'!G6+'08-highway'!G6+'21-comm dev'!G6+'24-tax coll'!G11+'10-wastewater'!G6</f>
        <v>573061</v>
      </c>
      <c r="E7" s="217">
        <f t="shared" ref="E7:E70" si="0">D7-C7</f>
        <v>-76770</v>
      </c>
    </row>
    <row r="8" spans="1:6" ht="13.5" x14ac:dyDescent="0.25">
      <c r="A8" s="368" t="s">
        <v>2311</v>
      </c>
      <c r="B8" s="435">
        <f>'01-gen gov'!E11+'02-assessing'!E6+'03-fire'!E11+'04-police'!E14+'05-comm'!E6+'06-code enforcement'!E10+'07-pub works'!E10+'08-highway'!E10+'09-solid waste'!E6+'13-parks &amp; rec'!E6+'15-library'!E6+'16-equip mntc'!E6+'21-comm dev'!E11+'24-tax coll'!E20+'10-wastewater'!E10+'32-Media'!E6</f>
        <v>4601957</v>
      </c>
      <c r="C8" s="435">
        <f>'01-gen gov'!F11+'02-assessing'!F6+'03-fire'!F11+'04-police'!F14+'05-comm'!F6+'06-code enforcement'!F10+'07-pub works'!F10+'08-highway'!F10+'09-solid waste'!F6+'13-parks &amp; rec'!F6+'15-library'!F6+'16-equip mntc'!F6+'21-comm dev'!F11+'24-tax coll'!F20+'10-wastewater'!F10+'32-Media'!F6</f>
        <v>4791098</v>
      </c>
      <c r="D8" s="435">
        <f>'01-gen gov'!G11+'02-assessing'!G6+'03-fire'!G11+'04-police'!G14+'05-comm'!G6+'06-code enforcement'!G10+'07-pub works'!G10+'08-highway'!G10+'09-solid waste'!G6+'13-parks &amp; rec'!G6+'15-library'!G6+'16-equip mntc'!G6+'21-comm dev'!G11+'24-tax coll'!G20+'10-wastewater'!G10+'32-Media'!G6</f>
        <v>4789158.5600000005</v>
      </c>
      <c r="E8" s="217">
        <f t="shared" si="0"/>
        <v>-1939.4399999994785</v>
      </c>
      <c r="F8" s="430"/>
    </row>
    <row r="9" spans="1:6" ht="13.5" x14ac:dyDescent="0.25">
      <c r="A9" s="368" t="s">
        <v>2312</v>
      </c>
      <c r="B9" s="435">
        <f>'01-gen gov'!E20+'02-assessing'!E11+'03-fire'!E31+'04-police'!E28+'05-comm'!E10+'06-code enforcement'!E15+'07-pub works'!E17+'08-highway'!E19+'09-solid waste'!E14+'13-parks &amp; rec'!E12+'15-library'!E16+'16-equip mntc'!E11+'17-bldg &amp; grounds'!E6+'21-comm dev'!E17+'10-wastewater'!E22+'32-Media'!E11</f>
        <v>7316235</v>
      </c>
      <c r="C9" s="435">
        <f>'01-gen gov'!F20+'02-assessing'!F11+'03-fire'!F31+'04-police'!F28+'05-comm'!F10+'06-code enforcement'!F15+'07-pub works'!F17+'08-highway'!F19+'09-solid waste'!F14+'13-parks &amp; rec'!F12+'15-library'!F16+'16-equip mntc'!F11+'17-bldg &amp; grounds'!F6+'21-comm dev'!F17+'10-wastewater'!F22+'32-Media'!F11</f>
        <v>8633382</v>
      </c>
      <c r="D9" s="435">
        <f>'01-gen gov'!G20+'02-assessing'!G11+'03-fire'!G31+'04-police'!G28+'05-comm'!G10+'06-code enforcement'!G15+'07-pub works'!G17+'08-highway'!G19+'09-solid waste'!G14+'13-parks &amp; rec'!G12+'15-library'!G16+'16-equip mntc'!G11+'17-bldg &amp; grounds'!G6+'21-comm dev'!G17+'10-wastewater'!G22+'32-Media'!G11</f>
        <v>8850929.7388000004</v>
      </c>
      <c r="E9" s="217">
        <f t="shared" si="0"/>
        <v>217547.7388000004</v>
      </c>
    </row>
    <row r="10" spans="1:6" ht="13.5" x14ac:dyDescent="0.25">
      <c r="A10" s="368" t="s">
        <v>2369</v>
      </c>
      <c r="B10" s="435">
        <f>'03-fire'!E73+'04-police'!E71+'05-comm'!E25+'08-highway'!E43+'09-solid waste'!E24+'16-equip mntc'!E19+'10-wastewater'!E40</f>
        <v>407755</v>
      </c>
      <c r="C10" s="435">
        <f>'03-fire'!F73+'04-police'!F71+'05-comm'!F25+'08-highway'!F43+'09-solid waste'!F24+'16-equip mntc'!F19+'10-wastewater'!F40</f>
        <v>318600</v>
      </c>
      <c r="D10" s="435">
        <f>'03-fire'!G73+'04-police'!G71+'05-comm'!G25+'08-highway'!G43+'09-solid waste'!G24+'16-equip mntc'!G19+'10-wastewater'!G40</f>
        <v>318959</v>
      </c>
      <c r="E10" s="217">
        <f t="shared" si="0"/>
        <v>359</v>
      </c>
      <c r="F10" s="430"/>
    </row>
    <row r="11" spans="1:6" ht="13.5" x14ac:dyDescent="0.25">
      <c r="A11" s="368" t="s">
        <v>2519</v>
      </c>
      <c r="B11" s="435">
        <f>'04-police'!E75</f>
        <v>14177</v>
      </c>
      <c r="C11" s="435">
        <f>'04-police'!F75</f>
        <v>26780</v>
      </c>
      <c r="D11" s="435">
        <f>'04-police'!G75</f>
        <v>26780</v>
      </c>
      <c r="E11" s="217">
        <f t="shared" si="0"/>
        <v>0</v>
      </c>
      <c r="F11" s="430"/>
    </row>
    <row r="12" spans="1:6" ht="13.5" x14ac:dyDescent="0.25">
      <c r="A12" s="368" t="s">
        <v>2313</v>
      </c>
      <c r="B12" s="435">
        <f>'01-gen gov'!E30+'03-fire'!E81+'04-police'!D79+'05-comm'!E28+'06-code enforcement'!E21+'07-pub works'!E22+'08-highway'!E50+'09-solid waste'!E27+'13-parks &amp; rec'!E18+'15-library'!E41+'17-bldg &amp; grounds'!E12+'21-comm dev'!E21+'24-tax coll'!E25+'25-welfare'!F6+'10-wastewater'!E44+'32-Media'!E16</f>
        <v>477067</v>
      </c>
      <c r="C12" s="435">
        <f>'01-gen gov'!F30+'03-fire'!F81+'04-police'!E79+'05-comm'!F28+'06-code enforcement'!F21+'07-pub works'!F22+'08-highway'!F50+'09-solid waste'!F27+'13-parks &amp; rec'!F18+'15-library'!F41+'17-bldg &amp; grounds'!F12+'21-comm dev'!F21+'24-tax coll'!F25+'25-welfare'!G6+'10-wastewater'!F44+'32-Media'!F16</f>
        <v>564828</v>
      </c>
      <c r="D12" s="435">
        <f>'01-gen gov'!G30+'03-fire'!G81+'04-police'!F79+'05-comm'!G28+'06-code enforcement'!G21+'07-pub works'!G22+'08-highway'!G50+'09-solid waste'!G27+'13-parks &amp; rec'!G18+'15-library'!G41+'17-bldg &amp; grounds'!G12+'21-comm dev'!G21+'24-tax coll'!G25+'25-welfare'!H6+'10-wastewater'!G44+'32-Media'!G16</f>
        <v>584145.52</v>
      </c>
      <c r="E12" s="217">
        <f t="shared" si="0"/>
        <v>19317.520000000019</v>
      </c>
    </row>
    <row r="13" spans="1:6" ht="13.5" x14ac:dyDescent="0.25">
      <c r="A13" s="368" t="s">
        <v>2314</v>
      </c>
      <c r="B13" s="435">
        <f>'01-gen gov'!E36+'02-assessing'!E16+'03-fire'!E96+'04-police'!E85+'05-comm'!E33+'06-code enforcement'!E26+'07-pub works'!E28+'08-highway'!E55+'09-solid waste'!E32+'13-parks &amp; rec'!E27+'15-library'!E45+'16-equip mntc'!E23+'17-bldg &amp; grounds'!E17+'21-comm dev'!E25+'24-tax coll'!E32+'10-wastewater'!E51+'32-Media'!E21</f>
        <v>1332130</v>
      </c>
      <c r="C13" s="435">
        <f>'01-gen gov'!F36+'02-assessing'!F16+'03-fire'!F96+'04-police'!F85+'05-comm'!F33+'06-code enforcement'!F26+'07-pub works'!F28+'08-highway'!F55+'09-solid waste'!F32+'13-parks &amp; rec'!F27+'15-library'!F45+'16-equip mntc'!F23+'17-bldg &amp; grounds'!F17+'21-comm dev'!F25+'24-tax coll'!F32+'10-wastewater'!F51+'32-Media'!F21</f>
        <v>982203</v>
      </c>
      <c r="D13" s="435">
        <f>'01-gen gov'!G36+'02-assessing'!G16+'03-fire'!G96+'04-police'!G85+'05-comm'!G33+'06-code enforcement'!G26+'07-pub works'!G28+'08-highway'!G55+'09-solid waste'!G32+'13-parks &amp; rec'!G27+'15-library'!G45+'16-equip mntc'!G23+'17-bldg &amp; grounds'!G17+'21-comm dev'!G25+'24-tax coll'!G32+'10-wastewater'!G51+'32-Media'!G21</f>
        <v>1028829</v>
      </c>
      <c r="E13" s="217">
        <f t="shared" si="0"/>
        <v>46626</v>
      </c>
    </row>
    <row r="14" spans="1:6" ht="13.5" x14ac:dyDescent="0.25">
      <c r="A14" s="368" t="s">
        <v>2315</v>
      </c>
      <c r="B14" s="435">
        <f>'01-gen gov'!E39+'02-assessing'!E20+'03-fire'!E107+'04-police'!E90+'05-comm'!E37+'06-code enforcement'!E31+'07-pub works'!E31+'08-highway'!E62+'09-solid waste'!E36+'13-parks &amp; rec'!E30+'15-library'!E48+'16-equip mntc'!E26+'17-bldg &amp; grounds'!E20+'21-comm dev'!E27+'24-tax coll'!E35+'25-welfare'!F11+'10-wastewater'!E55+'32-Media'!E23</f>
        <v>688903</v>
      </c>
      <c r="C14" s="435">
        <f>'01-gen gov'!F39+'02-assessing'!F20+'03-fire'!F107+'04-police'!F90+'05-comm'!F37+'06-code enforcement'!F31+'07-pub works'!F31+'08-highway'!F62+'09-solid waste'!F36+'13-parks &amp; rec'!F30+'15-library'!F48+'16-equip mntc'!F26+'17-bldg &amp; grounds'!F20+'21-comm dev'!F27+'24-tax coll'!F35+'25-welfare'!G11+'10-wastewater'!F55+'32-Media'!F23</f>
        <v>724793</v>
      </c>
      <c r="D14" s="435">
        <f>'01-gen gov'!G39+'02-assessing'!G20+'03-fire'!G107+'04-police'!G90+'05-comm'!G37+'06-code enforcement'!G31+'07-pub works'!G31+'08-highway'!G62+'09-solid waste'!G36+'13-parks &amp; rec'!G30+'15-library'!G48+'16-equip mntc'!G26+'17-bldg &amp; grounds'!G20+'21-comm dev'!G27+'24-tax coll'!G35+'25-welfare'!H11+'10-wastewater'!G55+'32-Media'!G23</f>
        <v>731299</v>
      </c>
      <c r="E14" s="217">
        <f t="shared" si="0"/>
        <v>6506</v>
      </c>
    </row>
    <row r="15" spans="1:6" ht="13.5" x14ac:dyDescent="0.25">
      <c r="A15" s="368" t="s">
        <v>2316</v>
      </c>
      <c r="B15" s="435">
        <f>'01-gen gov'!E49+'02-assessing'!E26+'03-fire'!E116+'04-police'!E101+'05-comm'!E45+'06-code enforcement'!E39+'07-pub works'!E39+'08-highway'!E71+'09-solid waste'!E44+'13-parks &amp; rec'!E37+'15-library'!E54+'16-equip mntc'!E33+'17-bldg &amp; grounds'!E26+'21-comm dev'!E34+'24-tax coll'!E43+'10-wastewater'!E64+'32-Media'!E29</f>
        <v>3505394</v>
      </c>
      <c r="C15" s="435">
        <f>'01-gen gov'!F49+'02-assessing'!F26+'03-fire'!F116+'04-police'!F101+'05-comm'!F45+'06-code enforcement'!F39+'07-pub works'!F39+'08-highway'!F71+'09-solid waste'!F44+'13-parks &amp; rec'!F37+'15-library'!F54+'16-equip mntc'!F33+'17-bldg &amp; grounds'!F26+'21-comm dev'!F34+'24-tax coll'!F43+'10-wastewater'!F64+'32-Media'!F29</f>
        <v>3714416</v>
      </c>
      <c r="D15" s="435">
        <f>'01-gen gov'!G49+'02-assessing'!G26+'03-fire'!G116+'04-police'!G101+'05-comm'!G45+'06-code enforcement'!G39+'07-pub works'!G39+'08-highway'!G71+'09-solid waste'!G44+'13-parks &amp; rec'!G37+'15-library'!G54+'16-equip mntc'!G33+'17-bldg &amp; grounds'!G26+'21-comm dev'!G34+'24-tax coll'!G43+'10-wastewater'!G64+'32-Media'!G29</f>
        <v>3528436.9950040001</v>
      </c>
      <c r="E15" s="217">
        <f t="shared" si="0"/>
        <v>-185979.00499599986</v>
      </c>
    </row>
    <row r="16" spans="1:6" ht="13.5" x14ac:dyDescent="0.25">
      <c r="A16" s="368" t="s">
        <v>2317</v>
      </c>
      <c r="B16" s="435">
        <f>'01-gen gov'!E57+'02-assessing'!E32+'03-fire'!E124+'04-police'!E111+'05-comm'!E50+'06-code enforcement'!E46+'07-pub works'!E46+'08-highway'!E79+'09-solid waste'!E52+'13-parks &amp; rec'!E42+'15-library'!E60+'16-equip mntc'!E40+'17-bldg &amp; grounds'!E31+'21-comm dev'!E40+'24-tax coll'!E50+'10-wastewater'!E72+'32-Media'!E32</f>
        <v>3579259</v>
      </c>
      <c r="C16" s="435">
        <f>'01-gen gov'!F57+'02-assessing'!F32+'03-fire'!F124+'04-police'!F111+'05-comm'!F50+'06-code enforcement'!F46+'07-pub works'!F46+'08-highway'!F79+'09-solid waste'!F52+'13-parks &amp; rec'!F42+'15-library'!F60+'16-equip mntc'!F40+'17-bldg &amp; grounds'!F31+'21-comm dev'!F40+'24-tax coll'!F50+'10-wastewater'!F72+'32-Media'!F32</f>
        <v>3983500</v>
      </c>
      <c r="D16" s="435">
        <f>'01-gen gov'!G57+'02-assessing'!G32+'03-fire'!G124+'04-police'!G111+'05-comm'!G50+'06-code enforcement'!G46+'07-pub works'!G46+'08-highway'!G79+'09-solid waste'!G52+'13-parks &amp; rec'!G42+'15-library'!G60+'16-equip mntc'!G40+'17-bldg &amp; grounds'!G31+'21-comm dev'!G40+'24-tax coll'!G50+'10-wastewater'!G72+'32-Media'!G32</f>
        <v>4246625</v>
      </c>
      <c r="E16" s="217">
        <f t="shared" si="0"/>
        <v>263125</v>
      </c>
    </row>
    <row r="17" spans="1:5" ht="13.5" x14ac:dyDescent="0.25">
      <c r="A17" s="368" t="s">
        <v>2318</v>
      </c>
      <c r="B17" s="435">
        <f>'01-gen gov'!E60+'02-assessing'!E35+'03-fire'!E130+'04-police'!E119+'05-comm'!E55+'06-code enforcement'!E49+'07-pub works'!E49+'08-highway'!E85+'09-solid waste'!E57+'13-parks &amp; rec'!E45+'15-library'!E63+'16-equip mntc'!E45+'17-bldg &amp; grounds'!E34+'21-comm dev'!E43+'24-tax coll'!E53+'10-wastewater'!E78+'32-Media'!E35</f>
        <v>223961</v>
      </c>
      <c r="C17" s="435">
        <f>'01-gen gov'!F60+'02-assessing'!F35+'03-fire'!F130+'04-police'!F119+'05-comm'!F55+'06-code enforcement'!F49+'07-pub works'!F49+'08-highway'!F85+'09-solid waste'!F57+'13-parks &amp; rec'!F45+'15-library'!F63+'16-equip mntc'!F45+'17-bldg &amp; grounds'!F34+'21-comm dev'!F43+'24-tax coll'!F53+'10-wastewater'!F78+'32-Media'!F35</f>
        <v>263019</v>
      </c>
      <c r="D17" s="435">
        <f>'01-gen gov'!G60+'02-assessing'!G35+'03-fire'!G130+'04-police'!G119+'05-comm'!G55+'06-code enforcement'!G49+'07-pub works'!G49+'08-highway'!G85+'09-solid waste'!G57+'13-parks &amp; rec'!G45+'15-library'!G63+'16-equip mntc'!G45+'17-bldg &amp; grounds'!G34+'21-comm dev'!G43+'24-tax coll'!G53+'10-wastewater'!G78+'32-Media'!G35</f>
        <v>262645</v>
      </c>
      <c r="E17" s="217">
        <f t="shared" si="0"/>
        <v>-374</v>
      </c>
    </row>
    <row r="18" spans="1:5" ht="13.5" x14ac:dyDescent="0.25">
      <c r="A18" s="368" t="s">
        <v>2319</v>
      </c>
      <c r="B18" s="435">
        <f>'01-gen gov'!E65+'02-assessing'!E40+'03-fire'!E136+'04-police'!E127+'05-comm'!E61+'06-code enforcement'!E54+'07-pub works'!E54+'08-highway'!E90+'09-solid waste'!E62+'13-parks &amp; rec'!E50+'15-library'!E68+'16-equip mntc'!E50+'17-bldg &amp; grounds'!E39+'21-comm dev'!E48+'24-tax coll'!E58+'10-wastewater'!E83+'32-Media'!E40</f>
        <v>17047</v>
      </c>
      <c r="C18" s="435">
        <f>'01-gen gov'!F65+'02-assessing'!F40+'03-fire'!F136+'04-police'!F127+'05-comm'!F61+'06-code enforcement'!F54+'07-pub works'!F54+'08-highway'!F90+'09-solid waste'!F62+'13-parks &amp; rec'!F50+'15-library'!F68+'16-equip mntc'!F50+'17-bldg &amp; grounds'!F39+'21-comm dev'!F48+'24-tax coll'!F58+'10-wastewater'!F83+'32-Media'!F40</f>
        <v>18982</v>
      </c>
      <c r="D18" s="435">
        <f>'01-gen gov'!G65+'02-assessing'!G40+'03-fire'!G136+'04-police'!G127+'05-comm'!G61+'06-code enforcement'!G54+'07-pub works'!G54+'08-highway'!G90+'09-solid waste'!G62+'13-parks &amp; rec'!G50+'15-library'!G68+'16-equip mntc'!G50+'17-bldg &amp; grounds'!G39+'21-comm dev'!G48+'24-tax coll'!G58+'10-wastewater'!G83+'32-Media'!G40</f>
        <v>19759</v>
      </c>
      <c r="E18" s="217">
        <f t="shared" si="0"/>
        <v>777</v>
      </c>
    </row>
    <row r="19" spans="1:5" ht="13.5" x14ac:dyDescent="0.25">
      <c r="A19" s="368" t="s">
        <v>2320</v>
      </c>
      <c r="B19" s="435">
        <f>'01-gen gov'!E68+'02-assessing'!E43+'03-fire'!E142+'04-police'!E134+'05-comm'!E66+'06-code enforcement'!E57+'07-pub works'!E57+'08-highway'!E96+'09-solid waste'!E67+'13-parks &amp; rec'!E53+'15-library'!E74+'16-equip mntc'!E55+'17-bldg &amp; grounds'!E42+'21-comm dev'!E51+'24-tax coll'!E61+'10-wastewater'!E89+'32-Media'!E43</f>
        <v>106492</v>
      </c>
      <c r="C19" s="435">
        <f>'01-gen gov'!F68+'02-assessing'!F43+'03-fire'!F142+'04-police'!F134+'05-comm'!F66+'06-code enforcement'!F57+'07-pub works'!F57+'08-highway'!F96+'09-solid waste'!F67+'13-parks &amp; rec'!F53+'15-library'!F74+'16-equip mntc'!F55+'17-bldg &amp; grounds'!F42+'21-comm dev'!F51+'24-tax coll'!F61+'10-wastewater'!F89+'32-Media'!F43</f>
        <v>112350</v>
      </c>
      <c r="D19" s="435">
        <f>'01-gen gov'!G68+'02-assessing'!G43+'03-fire'!G142+'04-police'!G134+'05-comm'!G66+'06-code enforcement'!G57+'07-pub works'!G57+'08-highway'!G96+'09-solid waste'!G67+'13-parks &amp; rec'!G53+'15-library'!G74+'16-equip mntc'!G55+'17-bldg &amp; grounds'!G42+'21-comm dev'!G51+'24-tax coll'!G61+'10-wastewater'!G89+'32-Media'!G43</f>
        <v>120910</v>
      </c>
      <c r="E19" s="217">
        <f t="shared" si="0"/>
        <v>8560</v>
      </c>
    </row>
    <row r="20" spans="1:5" ht="13.5" x14ac:dyDescent="0.25">
      <c r="A20" s="368" t="s">
        <v>2321</v>
      </c>
      <c r="B20" s="435">
        <f>'01-gen gov'!E71+'02-assessing'!E46+'03-fire'!E147+'04-police'!E140+'05-comm'!E71+'06-code enforcement'!E60+'07-pub works'!E60+'08-highway'!E101+'09-solid waste'!E70+'13-parks &amp; rec'!E56+'15-library'!E77+'16-equip mntc'!E58+'17-bldg &amp; grounds'!E45+'21-comm dev'!E54+'24-tax coll'!E64+'25-welfare'!F14+'10-wastewater'!E94+'32-Media'!E46</f>
        <v>387583</v>
      </c>
      <c r="C20" s="435">
        <f>'01-gen gov'!F71+'02-assessing'!F46+'03-fire'!F147+'04-police'!F140+'05-comm'!F71+'06-code enforcement'!F60+'07-pub works'!F60+'08-highway'!F101+'09-solid waste'!F70+'13-parks &amp; rec'!F56+'15-library'!F77+'16-equip mntc'!F58+'17-bldg &amp; grounds'!F45+'21-comm dev'!F54+'24-tax coll'!F64+'25-welfare'!G14+'10-wastewater'!F94+'32-Media'!F46</f>
        <v>473223</v>
      </c>
      <c r="D20" s="435">
        <f>'01-gen gov'!G71+'02-assessing'!G46+'03-fire'!G147+'04-police'!G140+'05-comm'!G71+'06-code enforcement'!G60+'07-pub works'!G60+'08-highway'!G101+'09-solid waste'!G70+'13-parks &amp; rec'!G56+'15-library'!G77+'16-equip mntc'!G58+'17-bldg &amp; grounds'!G45+'21-comm dev'!G54+'24-tax coll'!G64+'25-welfare'!H14+'10-wastewater'!G94+'32-Media'!G46</f>
        <v>453186.46745791199</v>
      </c>
      <c r="E20" s="217">
        <f t="shared" si="0"/>
        <v>-20036.532542088011</v>
      </c>
    </row>
    <row r="21" spans="1:5" ht="13.5" x14ac:dyDescent="0.25">
      <c r="A21" s="368" t="s">
        <v>2322</v>
      </c>
      <c r="B21" s="435">
        <f>'01-gen gov'!E79+'02-assessing'!E52+'03-fire'!E156+'04-police'!E151+'05-comm'!E79+'06-code enforcement'!E68+'07-pub works'!E68+'08-highway'!E110+'09-solid waste'!E78+'13-parks &amp; rec'!E64+'15-library'!E83+'16-equip mntc'!E65+'17-bldg &amp; grounds'!E51+'21-comm dev'!E62+'24-tax coll'!E72+'25-welfare'!F17+'10-wastewater'!E103+'32-Media'!E52</f>
        <v>3086</v>
      </c>
      <c r="C21" s="435">
        <f>'01-gen gov'!F79+'02-assessing'!F52+'03-fire'!F156+'04-police'!F151+'05-comm'!F79+'06-code enforcement'!F68+'07-pub works'!F68+'08-highway'!F110+'09-solid waste'!F78+'13-parks &amp; rec'!F64+'15-library'!F83+'16-equip mntc'!F65+'17-bldg &amp; grounds'!F51+'21-comm dev'!F62+'24-tax coll'!F72+'25-welfare'!G17+'10-wastewater'!F103+'32-Media'!F52</f>
        <v>5096</v>
      </c>
      <c r="D21" s="435">
        <f>'01-gen gov'!G79+'02-assessing'!G52+'03-fire'!G156+'04-police'!G151+'05-comm'!G79+'06-code enforcement'!G68+'07-pub works'!G68+'08-highway'!G110+'09-solid waste'!G78+'13-parks &amp; rec'!G64+'15-library'!G83+'16-equip mntc'!G65+'17-bldg &amp; grounds'!G51+'21-comm dev'!G62+'24-tax coll'!G72+'25-welfare'!H17+'10-wastewater'!G103+'32-Media'!G52</f>
        <v>5028.61601832</v>
      </c>
      <c r="E21" s="217">
        <f t="shared" si="0"/>
        <v>-67.383981680000034</v>
      </c>
    </row>
    <row r="22" spans="1:5" ht="13.5" x14ac:dyDescent="0.25">
      <c r="A22" s="368" t="s">
        <v>2323</v>
      </c>
      <c r="B22" s="435">
        <f>'01-gen gov'!E87+'10-wastewater'!E111</f>
        <v>171008</v>
      </c>
      <c r="C22" s="435">
        <f>'01-gen gov'!F87+'10-wastewater'!F111</f>
        <v>179870</v>
      </c>
      <c r="D22" s="435">
        <f>'01-gen gov'!G87+'10-wastewater'!G111</f>
        <v>79870</v>
      </c>
      <c r="E22" s="217">
        <f t="shared" si="0"/>
        <v>-100000</v>
      </c>
    </row>
    <row r="23" spans="1:5" ht="13.5" x14ac:dyDescent="0.25">
      <c r="A23" s="368" t="s">
        <v>2324</v>
      </c>
      <c r="B23" s="435">
        <f>'01-gen gov'!E94+'15-library'!E91+'10-wastewater'!E117+'32-Media'!E59</f>
        <v>750</v>
      </c>
      <c r="C23" s="435">
        <f>'01-gen gov'!F94+'15-library'!F91+'10-wastewater'!F117+'32-Media'!F59</f>
        <v>26500</v>
      </c>
      <c r="D23" s="435">
        <f>'01-gen gov'!G94+'15-library'!G91+'10-wastewater'!G117+'32-Media'!G59</f>
        <v>56500</v>
      </c>
      <c r="E23" s="217">
        <f t="shared" si="0"/>
        <v>30000</v>
      </c>
    </row>
    <row r="24" spans="1:5" ht="13.5" x14ac:dyDescent="0.25">
      <c r="A24" s="368" t="s">
        <v>2325</v>
      </c>
      <c r="B24" s="435">
        <f>'01-gen gov'!E100+'02-assessing'!E57+'03-fire'!E167+'04-police'!E159+'05-comm'!E87+'06-code enforcement'!E76+'07-pub works'!E75+'08-highway'!E117+'09-solid waste'!E84+'13-parks &amp; rec'!E72+'15-library'!E94+'16-equip mntc'!E70+'21-comm dev'!E69+'24-tax coll'!E81+'25-welfare'!F20+'10-wastewater'!E119</f>
        <v>50545</v>
      </c>
      <c r="C24" s="435">
        <f>'01-gen gov'!F100+'02-assessing'!F57+'03-fire'!F167+'04-police'!F159+'05-comm'!F87+'06-code enforcement'!F76+'07-pub works'!F75+'08-highway'!F117+'09-solid waste'!F84+'13-parks &amp; rec'!F72+'15-library'!F94+'16-equip mntc'!F70+'21-comm dev'!F69+'24-tax coll'!F81+'25-welfare'!G20+'10-wastewater'!F119</f>
        <v>63995</v>
      </c>
      <c r="D24" s="435">
        <f>'01-gen gov'!G100+'02-assessing'!G57+'03-fire'!G167+'04-police'!G159+'05-comm'!G87+'06-code enforcement'!G76+'07-pub works'!G75+'08-highway'!G117+'09-solid waste'!G84+'13-parks &amp; rec'!G72+'15-library'!G94+'16-equip mntc'!G70+'21-comm dev'!G69+'24-tax coll'!G81+'25-welfare'!H20+'10-wastewater'!G119</f>
        <v>63884</v>
      </c>
      <c r="E24" s="217">
        <f t="shared" si="0"/>
        <v>-111</v>
      </c>
    </row>
    <row r="25" spans="1:5" ht="13.5" x14ac:dyDescent="0.25">
      <c r="A25" s="368" t="s">
        <v>2349</v>
      </c>
      <c r="B25" s="435">
        <f>'03-fire'!E172+'08-highway'!E121+'09-solid waste'!E88+'15-library'!E100+'10-wastewater'!E124</f>
        <v>23566</v>
      </c>
      <c r="C25" s="435">
        <f>'03-fire'!F172+'08-highway'!F121+'09-solid waste'!F88+'15-library'!F100+'10-wastewater'!F124</f>
        <v>20750</v>
      </c>
      <c r="D25" s="435">
        <f>'03-fire'!G172+'08-highway'!G121+'09-solid waste'!G88+'15-library'!G100+'10-wastewater'!G124</f>
        <v>22050</v>
      </c>
      <c r="E25" s="217">
        <f t="shared" si="0"/>
        <v>1300</v>
      </c>
    </row>
    <row r="26" spans="1:5" ht="13.5" x14ac:dyDescent="0.25">
      <c r="A26" s="368" t="s">
        <v>2350</v>
      </c>
      <c r="B26" s="435">
        <f>'02-assessing'!E60+'03-fire'!E177+'04-police'!E165+'05-comm'!E90+'07-pub works'!E78+'08-highway'!E124+'09-solid waste'!E91+'13-parks &amp; rec'!E76+'16-equip mntc'!E73+'17-bldg &amp; grounds'!E56+'21-comm dev'!E72+'10-wastewater'!E129+'32-Media'!E61</f>
        <v>77966</v>
      </c>
      <c r="C26" s="435">
        <f>'02-assessing'!F60+'03-fire'!F177+'04-police'!F165+'05-comm'!F90+'07-pub works'!F78+'08-highway'!F124+'09-solid waste'!F91+'13-parks &amp; rec'!F76+'16-equip mntc'!F73+'17-bldg &amp; grounds'!F56+'21-comm dev'!F72+'10-wastewater'!F129+'32-Media'!F61</f>
        <v>106840</v>
      </c>
      <c r="D26" s="435">
        <f>'02-assessing'!G60+'03-fire'!G177+'04-police'!G165+'05-comm'!G90+'07-pub works'!G78+'08-highway'!G124+'09-solid waste'!G91+'13-parks &amp; rec'!G76+'16-equip mntc'!G73+'17-bldg &amp; grounds'!G56+'21-comm dev'!G72+'10-wastewater'!G129+'32-Media'!G61</f>
        <v>94086</v>
      </c>
      <c r="E26" s="217">
        <f t="shared" si="0"/>
        <v>-12754</v>
      </c>
    </row>
    <row r="27" spans="1:5" ht="13.5" x14ac:dyDescent="0.25">
      <c r="A27" s="368" t="s">
        <v>2351</v>
      </c>
      <c r="B27" s="435">
        <f>'03-fire'!E190+'04-police'!E173+'05-comm'!E93+'06-code enforcement'!E82+'07-pub works'!E84+'08-highway'!E130+'09-solid waste'!E95+'13-parks &amp; rec'!E79+'16-equip mntc'!E76+'17-bldg &amp; grounds'!E58+'10-wastewater'!E137</f>
        <v>212319</v>
      </c>
      <c r="C27" s="435">
        <f>'03-fire'!F190+'04-police'!F173+'05-comm'!F93+'06-code enforcement'!F82+'07-pub works'!F84+'08-highway'!F130+'09-solid waste'!F95+'13-parks &amp; rec'!F79+'16-equip mntc'!F76+'17-bldg &amp; grounds'!F58+'10-wastewater'!F137</f>
        <v>200433</v>
      </c>
      <c r="D27" s="435">
        <f>'03-fire'!G190+'04-police'!G173+'05-comm'!G93+'06-code enforcement'!G82+'07-pub works'!G84+'08-highway'!G130+'09-solid waste'!G95+'13-parks &amp; rec'!G79+'16-equip mntc'!G76+'17-bldg &amp; grounds'!G58+'10-wastewater'!G137</f>
        <v>216403</v>
      </c>
      <c r="E27" s="217">
        <f t="shared" si="0"/>
        <v>15970</v>
      </c>
    </row>
    <row r="28" spans="1:5" ht="13.5" x14ac:dyDescent="0.25">
      <c r="A28" s="368" t="s">
        <v>2372</v>
      </c>
      <c r="B28" s="435">
        <f>'10-wastewater'!E149</f>
        <v>29356</v>
      </c>
      <c r="C28" s="435">
        <f>'10-wastewater'!F149</f>
        <v>28000</v>
      </c>
      <c r="D28" s="435">
        <f>'10-wastewater'!G149</f>
        <v>28000</v>
      </c>
      <c r="E28" s="217">
        <f t="shared" si="0"/>
        <v>0</v>
      </c>
    </row>
    <row r="29" spans="1:5" ht="13.5" x14ac:dyDescent="0.25">
      <c r="A29" s="368" t="s">
        <v>2371</v>
      </c>
      <c r="B29" s="435">
        <f>'08-highway'!E142+'09-solid waste'!E104+'17-bldg &amp; grounds'!E63+'10-wastewater'!E153</f>
        <v>3900</v>
      </c>
      <c r="C29" s="435">
        <f>'08-highway'!F142+'09-solid waste'!F104+'17-bldg &amp; grounds'!F63+'10-wastewater'!F153</f>
        <v>10200</v>
      </c>
      <c r="D29" s="435">
        <f>'08-highway'!G142+'09-solid waste'!G104+'17-bldg &amp; grounds'!G63+'10-wastewater'!G153</f>
        <v>10200</v>
      </c>
      <c r="E29" s="217">
        <f t="shared" si="0"/>
        <v>0</v>
      </c>
    </row>
    <row r="30" spans="1:5" ht="13.5" x14ac:dyDescent="0.25">
      <c r="A30" s="368" t="s">
        <v>2326</v>
      </c>
      <c r="B30" s="435">
        <f>'01-gen gov'!E103+'02-assessing'!E63+'03-fire'!E207+'04-police'!E187+'05-comm'!E98+'06-code enforcement'!E88+'07-pub works'!E87+'08-highway'!E148+'09-solid waste'!E109+'13-parks &amp; rec'!E82+'21-comm dev'!E75+'24-tax coll'!E90+'25-welfare'!F23+'10-wastewater'!E156</f>
        <v>18884</v>
      </c>
      <c r="C30" s="435">
        <f>'01-gen gov'!F103+'02-assessing'!F63+'03-fire'!F207+'04-police'!F187+'05-comm'!F98+'06-code enforcement'!F88+'07-pub works'!F87+'08-highway'!F148+'09-solid waste'!F109+'13-parks &amp; rec'!F82+'21-comm dev'!F75+'24-tax coll'!F90+'25-welfare'!G23+'10-wastewater'!F156</f>
        <v>22684</v>
      </c>
      <c r="D30" s="435">
        <f>'01-gen gov'!G103+'02-assessing'!G63+'03-fire'!G207+'04-police'!G187+'05-comm'!G98+'06-code enforcement'!G88+'07-pub works'!G87+'08-highway'!G148+'09-solid waste'!G109+'13-parks &amp; rec'!G82+'21-comm dev'!G75+'24-tax coll'!G90+'25-welfare'!H23+'10-wastewater'!G156</f>
        <v>23684</v>
      </c>
      <c r="E30" s="217">
        <f t="shared" si="0"/>
        <v>1000</v>
      </c>
    </row>
    <row r="31" spans="1:5" ht="13.5" x14ac:dyDescent="0.25">
      <c r="A31" s="368" t="s">
        <v>2327</v>
      </c>
      <c r="B31" s="435">
        <f>'01-gen gov'!E111+'02-assessing'!E66+'03-fire'!E210+'04-police'!E190+'06-code enforcement'!E92+'07-pub works'!E90+'08-highway'!E151+'09-solid waste'!E112+'13-parks &amp; rec'!E85+'15-library'!E103+'16-equip mntc'!E85+'21-comm dev'!E78+'24-tax coll'!E93+'25-welfare'!F26+'10-wastewater'!E158+'32-Media'!E63</f>
        <v>52939</v>
      </c>
      <c r="C31" s="435">
        <f>'01-gen gov'!F111+'02-assessing'!F66+'03-fire'!F210+'04-police'!F190+'06-code enforcement'!F92+'07-pub works'!F90+'08-highway'!F151+'09-solid waste'!F112+'13-parks &amp; rec'!F85+'15-library'!F103+'16-equip mntc'!F85+'21-comm dev'!F78+'24-tax coll'!F93+'25-welfare'!G26+'10-wastewater'!F158+'32-Media'!F63</f>
        <v>64150</v>
      </c>
      <c r="D31" s="435">
        <f>'01-gen gov'!G111+'02-assessing'!G66+'03-fire'!G210+'04-police'!G190+'06-code enforcement'!G92+'07-pub works'!G90+'08-highway'!G151+'09-solid waste'!G112+'13-parks &amp; rec'!G85+'15-library'!G103+'16-equip mntc'!G85+'21-comm dev'!G78+'24-tax coll'!G93+'25-welfare'!H26+'10-wastewater'!G158+'32-Media'!G63</f>
        <v>64130</v>
      </c>
      <c r="E31" s="217">
        <f t="shared" si="0"/>
        <v>-20</v>
      </c>
    </row>
    <row r="32" spans="1:5" ht="13.5" x14ac:dyDescent="0.25">
      <c r="A32" s="368" t="s">
        <v>2352</v>
      </c>
      <c r="B32" s="435">
        <f>'03-fire'!E213+'04-police'!E193+'08-highway'!E154+'09-solid waste'!E114+'13-parks &amp; rec'!E89+'15-library'!E106+'17-bldg &amp; grounds'!E65+'10-wastewater'!E161</f>
        <v>478998</v>
      </c>
      <c r="C32" s="435">
        <f>'03-fire'!F213+'04-police'!F193+'08-highway'!F154+'09-solid waste'!F114+'13-parks &amp; rec'!F89+'15-library'!F106+'17-bldg &amp; grounds'!F65+'10-wastewater'!F161</f>
        <v>527815</v>
      </c>
      <c r="D32" s="435">
        <f>'03-fire'!G213+'04-police'!G193+'08-highway'!G154+'09-solid waste'!G114+'13-parks &amp; rec'!G89+'15-library'!G106+'17-bldg &amp; grounds'!G65+'10-wastewater'!G161</f>
        <v>509000</v>
      </c>
      <c r="E32" s="217">
        <f t="shared" si="0"/>
        <v>-18815</v>
      </c>
    </row>
    <row r="33" spans="1:5" ht="13.5" x14ac:dyDescent="0.25">
      <c r="A33" s="368" t="s">
        <v>2353</v>
      </c>
      <c r="B33" s="435">
        <f>'03-fire'!E219+'04-police'!E198+'08-highway'!E160+'13-parks &amp; rec'!E101+'15-library'!E109+'17-bldg &amp; grounds'!E70+'10-wastewater'!E173</f>
        <v>157287</v>
      </c>
      <c r="C33" s="435">
        <f>'03-fire'!F219+'04-police'!F198+'08-highway'!F160+'13-parks &amp; rec'!F101+'15-library'!F109+'17-bldg &amp; grounds'!F70+'10-wastewater'!F173</f>
        <v>148300</v>
      </c>
      <c r="D33" s="435">
        <f>'03-fire'!G219+'04-police'!G198+'08-highway'!G160+'13-parks &amp; rec'!G101+'15-library'!G109+'17-bldg &amp; grounds'!G70+'10-wastewater'!G173</f>
        <v>161850</v>
      </c>
      <c r="E33" s="217">
        <f t="shared" si="0"/>
        <v>13550</v>
      </c>
    </row>
    <row r="34" spans="1:5" ht="13.5" x14ac:dyDescent="0.25">
      <c r="A34" s="368" t="s">
        <v>2373</v>
      </c>
      <c r="B34" s="435">
        <f>'10-wastewater'!E182</f>
        <v>0</v>
      </c>
      <c r="C34" s="435">
        <f>'10-wastewater'!F182</f>
        <v>3250</v>
      </c>
      <c r="D34" s="435">
        <f>'10-wastewater'!G182</f>
        <v>0</v>
      </c>
      <c r="E34" s="217">
        <f t="shared" si="0"/>
        <v>-3250</v>
      </c>
    </row>
    <row r="35" spans="1:5" ht="13.5" x14ac:dyDescent="0.25">
      <c r="A35" s="368" t="s">
        <v>2354</v>
      </c>
      <c r="B35" s="435">
        <f>'03-fire'!E225+'04-police'!E201+'08-highway'!E165+'13-parks &amp; rec'!E106+'15-library'!E112+'17-bldg &amp; grounds'!E75+'10-wastewater'!E187</f>
        <v>36178</v>
      </c>
      <c r="C35" s="435">
        <f>'03-fire'!F225+'04-police'!F201+'08-highway'!F165+'13-parks &amp; rec'!F106+'15-library'!F112+'17-bldg &amp; grounds'!F75+'10-wastewater'!F187</f>
        <v>33200</v>
      </c>
      <c r="D35" s="435">
        <f>'03-fire'!G225+'04-police'!G201+'08-highway'!G165+'13-parks &amp; rec'!G106+'15-library'!G112+'17-bldg &amp; grounds'!G75+'10-wastewater'!G187</f>
        <v>42650</v>
      </c>
      <c r="E35" s="217">
        <f t="shared" si="0"/>
        <v>9450</v>
      </c>
    </row>
    <row r="36" spans="1:5" ht="13.5" x14ac:dyDescent="0.25">
      <c r="A36" s="368" t="s">
        <v>2355</v>
      </c>
      <c r="B36" s="435">
        <f>'03-fire'!E228+'04-police'!E204+'08-highway'!E168+'13-parks &amp; rec'!E115+'15-library'!E115+'17-bldg &amp; grounds'!E78+'10-wastewater'!E197</f>
        <v>140525</v>
      </c>
      <c r="C36" s="435">
        <f>'03-fire'!F228+'04-police'!F204+'08-highway'!F168+'13-parks &amp; rec'!F115+'15-library'!F115+'17-bldg &amp; grounds'!F78+'10-wastewater'!F197</f>
        <v>71040</v>
      </c>
      <c r="D36" s="435">
        <f>'03-fire'!G228+'04-police'!G204+'08-highway'!G168+'13-parks &amp; rec'!G115+'15-library'!G115+'17-bldg &amp; grounds'!G78+'10-wastewater'!G197</f>
        <v>131400</v>
      </c>
      <c r="E36" s="217">
        <f t="shared" si="0"/>
        <v>60360</v>
      </c>
    </row>
    <row r="37" spans="1:5" ht="13.5" x14ac:dyDescent="0.25">
      <c r="A37" s="368" t="s">
        <v>2356</v>
      </c>
      <c r="B37" s="435">
        <f>'02-assessing'!E69+'03-fire'!E234+'04-police'!E208+'06-code enforcement'!E95+'08-highway'!E171+'09-solid waste'!E120+'13-parks &amp; rec'!E118+'16-equip mntc'!E87+'17-bldg &amp; grounds'!E81+'21-comm dev'!E83+'10-wastewater'!E200</f>
        <v>285160</v>
      </c>
      <c r="C37" s="435">
        <f>'02-assessing'!F69+'03-fire'!F234+'04-police'!F208+'06-code enforcement'!F95+'08-highway'!F171+'09-solid waste'!F120+'13-parks &amp; rec'!F118+'16-equip mntc'!F87+'17-bldg &amp; grounds'!F81+'21-comm dev'!F83+'10-wastewater'!F200</f>
        <v>304915</v>
      </c>
      <c r="D37" s="435">
        <f>'02-assessing'!G69+'03-fire'!G234+'04-police'!G208+'06-code enforcement'!G95+'08-highway'!G171+'09-solid waste'!G120+'13-parks &amp; rec'!G118+'16-equip mntc'!G87+'17-bldg &amp; grounds'!G81+'21-comm dev'!G83+'10-wastewater'!G200</f>
        <v>418732</v>
      </c>
      <c r="E37" s="217">
        <f t="shared" si="0"/>
        <v>113817</v>
      </c>
    </row>
    <row r="38" spans="1:5" ht="13.5" x14ac:dyDescent="0.25">
      <c r="A38" s="368" t="s">
        <v>2328</v>
      </c>
      <c r="B38" s="435">
        <f>'01-gen gov'!E116+'02-assessing'!E72+'03-fire'!E240+'05-comm'!E101+'06-code enforcement'!E98+'07-pub works'!E93+'08-highway'!E176+'09-solid waste'!E126+'13-parks &amp; rec'!E121+'15-library'!E118+'16-equip mntc'!E92+'17-bldg &amp; grounds'!E84+'21-comm dev'!E86+'24-tax coll'!E97+'25-welfare'!F29+'10-wastewater'!E206+'32-Media'!E65</f>
        <v>143015</v>
      </c>
      <c r="C38" s="435">
        <f>'01-gen gov'!F116+'02-assessing'!F72+'03-fire'!F240+'05-comm'!F101+'06-code enforcement'!F98+'07-pub works'!F93+'08-highway'!F176+'09-solid waste'!F126+'13-parks &amp; rec'!F121+'15-library'!F118+'16-equip mntc'!F92+'17-bldg &amp; grounds'!F84+'21-comm dev'!F86+'24-tax coll'!F97+'25-welfare'!G29+'10-wastewater'!F206+'32-Media'!F65</f>
        <v>134478</v>
      </c>
      <c r="D38" s="435">
        <f>'01-gen gov'!G116+'02-assessing'!G72+'03-fire'!G240+'05-comm'!G101+'06-code enforcement'!G98+'07-pub works'!G93+'08-highway'!G176+'09-solid waste'!G126+'13-parks &amp; rec'!G121+'15-library'!G118+'16-equip mntc'!G92+'17-bldg &amp; grounds'!G84+'21-comm dev'!G86+'24-tax coll'!G97+'25-welfare'!H29+'10-wastewater'!G206+'32-Media'!G65</f>
        <v>171435</v>
      </c>
      <c r="E38" s="217">
        <f t="shared" si="0"/>
        <v>36957</v>
      </c>
    </row>
    <row r="39" spans="1:5" ht="13.5" x14ac:dyDescent="0.25">
      <c r="A39" s="368" t="s">
        <v>2329</v>
      </c>
      <c r="B39" s="435">
        <f>'01-gen gov'!E123+'02-assessing'!E75+'03-fire'!E250+'04-police'!E211+'05-comm'!E112+'06-code enforcement'!E106+'07-pub works'!E99+'08-highway'!E183+'09-solid waste'!E133+'13-parks &amp; rec'!E127+'15-library'!E127+'21-comm dev'!E91+'24-tax coll'!E100+'25-welfare'!F34+'10-wastewater'!E214+'32-Media'!E72</f>
        <v>99460</v>
      </c>
      <c r="C39" s="435">
        <f>'01-gen gov'!F123+'02-assessing'!F75+'03-fire'!F250+'04-police'!F211+'05-comm'!F112+'06-code enforcement'!F106+'07-pub works'!F99+'08-highway'!F183+'09-solid waste'!F133+'13-parks &amp; rec'!F127+'15-library'!F127+'21-comm dev'!F91+'24-tax coll'!F100+'25-welfare'!G34+'10-wastewater'!F214+'32-Media'!F72</f>
        <v>109652</v>
      </c>
      <c r="D39" s="435">
        <f>'01-gen gov'!G123+'02-assessing'!G75+'03-fire'!G250+'04-police'!G211+'05-comm'!G112+'06-code enforcement'!G106+'07-pub works'!G99+'08-highway'!G183+'09-solid waste'!G133+'13-parks &amp; rec'!G127+'15-library'!G127+'21-comm dev'!G91+'24-tax coll'!G100+'25-welfare'!H34+'10-wastewater'!G214+'32-Media'!G72</f>
        <v>119533</v>
      </c>
      <c r="E39" s="217">
        <f t="shared" si="0"/>
        <v>9881</v>
      </c>
    </row>
    <row r="40" spans="1:5" ht="13.5" x14ac:dyDescent="0.25">
      <c r="A40" s="368" t="s">
        <v>2330</v>
      </c>
      <c r="B40" s="435">
        <f>'01-gen gov'!E132+'32-Media'!E74</f>
        <v>3688</v>
      </c>
      <c r="C40" s="435">
        <f>'01-gen gov'!F132+'32-Media'!F74</f>
        <v>13970</v>
      </c>
      <c r="D40" s="435">
        <f>'01-gen gov'!G132+'32-Media'!G74</f>
        <v>13970</v>
      </c>
      <c r="E40" s="217">
        <f t="shared" si="0"/>
        <v>0</v>
      </c>
    </row>
    <row r="41" spans="1:5" ht="13.5" x14ac:dyDescent="0.25">
      <c r="A41" s="368" t="s">
        <v>2331</v>
      </c>
      <c r="B41" s="435">
        <f>'01-gen gov'!E139+'02-assessing'!E81+'03-fire'!E261+'04-police'!E227+'05-comm'!E115+'06-code enforcement'!E117+'07-pub works'!E111+'08-highway'!E186+'09-solid waste'!E142+'13-parks &amp; rec'!E133+'15-library'!E135+'16-equip mntc'!E96+'17-bldg &amp; grounds'!E89+'21-comm dev'!E97+'24-tax coll'!E103+'25-welfare'!F37+'10-wastewater'!E223+'32-Media'!E77</f>
        <v>275046</v>
      </c>
      <c r="C41" s="435">
        <f>'01-gen gov'!F139+'02-assessing'!F81+'03-fire'!F261+'04-police'!F227+'05-comm'!F115+'06-code enforcement'!F117+'07-pub works'!F111+'08-highway'!F186+'09-solid waste'!F142+'13-parks &amp; rec'!F133+'15-library'!F135+'16-equip mntc'!F96+'17-bldg &amp; grounds'!F89+'21-comm dev'!F97+'24-tax coll'!F103+'25-welfare'!G37+'10-wastewater'!F223+'32-Media'!F77</f>
        <v>301357</v>
      </c>
      <c r="D41" s="435">
        <f>'01-gen gov'!G139+'02-assessing'!G81+'03-fire'!G261+'04-police'!G227+'05-comm'!G115+'06-code enforcement'!G117+'07-pub works'!G111+'08-highway'!G186+'09-solid waste'!G142+'13-parks &amp; rec'!G133+'15-library'!G135+'16-equip mntc'!G96+'17-bldg &amp; grounds'!G89+'21-comm dev'!G97+'24-tax coll'!G103+'25-welfare'!H37+'10-wastewater'!G223+'32-Media'!G77</f>
        <v>316425</v>
      </c>
      <c r="E41" s="217">
        <f t="shared" si="0"/>
        <v>15068</v>
      </c>
    </row>
    <row r="42" spans="1:5" ht="13.5" x14ac:dyDescent="0.25">
      <c r="A42" s="368" t="s">
        <v>2332</v>
      </c>
      <c r="B42" s="435">
        <f>'01-gen gov'!E142</f>
        <v>218502</v>
      </c>
      <c r="C42" s="435">
        <f>'01-gen gov'!F142</f>
        <v>140000</v>
      </c>
      <c r="D42" s="435">
        <f>'01-gen gov'!G142</f>
        <v>140000</v>
      </c>
      <c r="E42" s="217">
        <f t="shared" si="0"/>
        <v>0</v>
      </c>
    </row>
    <row r="43" spans="1:5" ht="13.5" x14ac:dyDescent="0.25">
      <c r="A43" s="368" t="s">
        <v>2333</v>
      </c>
      <c r="B43" s="435">
        <f>'01-gen gov'!E147+'02-assessing'!E84+'03-fire'!E264+'04-police'!E230+'05-comm'!E118+'06-code enforcement'!E120+'07-pub works'!E114+'08-highway'!E189+'09-solid waste'!E145+'13-parks &amp; rec'!E136+'15-library'!E138+'16-equip mntc'!E99+'21-comm dev'!E100+'24-tax coll'!E106+'25-welfare'!F40+'10-wastewater'!E227+'32-Media'!E80</f>
        <v>17035</v>
      </c>
      <c r="C43" s="435">
        <f>'01-gen gov'!F147+'02-assessing'!F84+'03-fire'!F264+'04-police'!F230+'05-comm'!F118+'06-code enforcement'!F120+'07-pub works'!F114+'08-highway'!F189+'09-solid waste'!F145+'13-parks &amp; rec'!F136+'15-library'!F138+'16-equip mntc'!F99+'21-comm dev'!F100+'24-tax coll'!F106+'25-welfare'!G40+'10-wastewater'!F227+'32-Media'!F80</f>
        <v>29475</v>
      </c>
      <c r="D43" s="435">
        <f>'01-gen gov'!G147+'02-assessing'!G84+'03-fire'!G264+'04-police'!G230+'05-comm'!G118+'06-code enforcement'!G120+'07-pub works'!G114+'08-highway'!G189+'09-solid waste'!G145+'13-parks &amp; rec'!G136+'15-library'!G138+'16-equip mntc'!G99+'21-comm dev'!G100+'24-tax coll'!G106+'25-welfare'!H40+'10-wastewater'!G227+'32-Media'!G80</f>
        <v>32975</v>
      </c>
      <c r="E43" s="217">
        <f t="shared" si="0"/>
        <v>3500</v>
      </c>
    </row>
    <row r="44" spans="1:5" ht="13.5" x14ac:dyDescent="0.25">
      <c r="A44" s="368" t="s">
        <v>2374</v>
      </c>
      <c r="B44" s="435">
        <f>'10-wastewater'!E231</f>
        <v>117385</v>
      </c>
      <c r="C44" s="435">
        <f>'10-wastewater'!F231</f>
        <v>111711</v>
      </c>
      <c r="D44" s="435">
        <f>'10-wastewater'!G231</f>
        <v>128467.65</v>
      </c>
      <c r="E44" s="217">
        <f t="shared" si="0"/>
        <v>16756.649999999994</v>
      </c>
    </row>
    <row r="45" spans="1:5" ht="13.5" x14ac:dyDescent="0.25">
      <c r="A45" s="368" t="s">
        <v>2375</v>
      </c>
      <c r="B45" s="435">
        <f>'10-wastewater'!E239</f>
        <v>250000</v>
      </c>
      <c r="C45" s="435">
        <f>'10-wastewater'!F239</f>
        <v>301760</v>
      </c>
      <c r="D45" s="435">
        <f>'10-wastewater'!G239</f>
        <v>316848</v>
      </c>
      <c r="E45" s="217">
        <f t="shared" si="0"/>
        <v>15088</v>
      </c>
    </row>
    <row r="46" spans="1:5" ht="13.5" x14ac:dyDescent="0.25">
      <c r="A46" s="368" t="s">
        <v>2357</v>
      </c>
      <c r="B46" s="435">
        <f>'03-fire'!E267+'04-police'!E235+'06-code enforcement'!E123+'08-highway'!E194+'09-solid waste'!E148+'13-parks &amp; rec'!E139+'15-library'!E143+'17-bldg &amp; grounds'!E93+'10-wastewater'!E243</f>
        <v>205997</v>
      </c>
      <c r="C46" s="435">
        <f>'03-fire'!F267+'04-police'!F235+'06-code enforcement'!F123+'08-highway'!F194+'09-solid waste'!F148+'13-parks &amp; rec'!F139+'15-library'!F143+'17-bldg &amp; grounds'!F93+'10-wastewater'!F243</f>
        <v>161016</v>
      </c>
      <c r="D46" s="435">
        <f>'03-fire'!G267+'04-police'!G235+'06-code enforcement'!G123+'08-highway'!G194+'09-solid waste'!G148+'13-parks &amp; rec'!G139+'15-library'!G143+'17-bldg &amp; grounds'!G93+'10-wastewater'!G243</f>
        <v>165791</v>
      </c>
      <c r="E46" s="217">
        <f t="shared" si="0"/>
        <v>4775</v>
      </c>
    </row>
    <row r="47" spans="1:5" ht="13.5" x14ac:dyDescent="0.25">
      <c r="A47" s="368" t="s">
        <v>2376</v>
      </c>
      <c r="B47" s="435">
        <f>'08-highway'!E200+'09-solid waste'!E153+'13-parks &amp; rec'!E147+'17-bldg &amp; grounds'!E116+'10-wastewater'!E250</f>
        <v>16462</v>
      </c>
      <c r="C47" s="435">
        <f>'08-highway'!F200+'09-solid waste'!F153+'13-parks &amp; rec'!F147+'17-bldg &amp; grounds'!F116+'10-wastewater'!F250</f>
        <v>24750</v>
      </c>
      <c r="D47" s="435">
        <f>'08-highway'!G200+'09-solid waste'!G153+'13-parks &amp; rec'!G147+'17-bldg &amp; grounds'!G116+'10-wastewater'!G250</f>
        <v>24550</v>
      </c>
      <c r="E47" s="217">
        <f t="shared" si="0"/>
        <v>-200</v>
      </c>
    </row>
    <row r="48" spans="1:5" ht="13.5" x14ac:dyDescent="0.25">
      <c r="A48" s="368" t="s">
        <v>2358</v>
      </c>
      <c r="B48" s="435">
        <f>'03-fire'!E270+'16-equip mntc'!E102+'17-bldg &amp; grounds'!E123+'10-wastewater'!E253</f>
        <v>121332</v>
      </c>
      <c r="C48" s="435">
        <f>'03-fire'!F270+'16-equip mntc'!F102+'17-bldg &amp; grounds'!F123+'10-wastewater'!F253</f>
        <v>240870</v>
      </c>
      <c r="D48" s="435">
        <f>'03-fire'!G270+'16-equip mntc'!G102+'17-bldg &amp; grounds'!G123+'10-wastewater'!G253</f>
        <v>240150</v>
      </c>
      <c r="E48" s="217">
        <f t="shared" si="0"/>
        <v>-720</v>
      </c>
    </row>
    <row r="49" spans="1:5" ht="13.5" x14ac:dyDescent="0.25">
      <c r="A49" s="368" t="s">
        <v>2359</v>
      </c>
      <c r="B49" s="435">
        <f>'02-assessing'!E88+'03-fire'!E274+'04-police'!E238+'06-code enforcement'!E128+'13-parks &amp; rec'!E151+'17-bldg &amp; grounds'!E126+'21-comm dev'!E103+'10-wastewater'!E273</f>
        <v>154170</v>
      </c>
      <c r="C49" s="435">
        <f>'02-assessing'!F88+'03-fire'!F274+'04-police'!F238+'06-code enforcement'!F128+'13-parks &amp; rec'!F151+'17-bldg &amp; grounds'!F126+'21-comm dev'!F103+'10-wastewater'!F273</f>
        <v>191350</v>
      </c>
      <c r="D49" s="435">
        <f>'02-assessing'!G88+'03-fire'!G274+'04-police'!G238+'06-code enforcement'!G128+'13-parks &amp; rec'!G151+'17-bldg &amp; grounds'!G126+'21-comm dev'!G103+'10-wastewater'!G273</f>
        <v>181650</v>
      </c>
      <c r="E49" s="217">
        <f t="shared" si="0"/>
        <v>-9700</v>
      </c>
    </row>
    <row r="50" spans="1:5" ht="13.5" x14ac:dyDescent="0.25">
      <c r="A50" s="444" t="s">
        <v>2520</v>
      </c>
      <c r="B50" s="435">
        <f>'08-highway'!E218+'09-solid waste'!E158+'16-equip mntc'!E105</f>
        <v>170445</v>
      </c>
      <c r="C50" s="435">
        <f>'08-highway'!F218+'09-solid waste'!F158+'16-equip mntc'!F105</f>
        <v>166000</v>
      </c>
      <c r="D50" s="435">
        <f>'08-highway'!G218+'09-solid waste'!G158+'16-equip mntc'!G105</f>
        <v>180500</v>
      </c>
      <c r="E50" s="217">
        <f t="shared" si="0"/>
        <v>14500</v>
      </c>
    </row>
    <row r="51" spans="1:5" ht="13.5" x14ac:dyDescent="0.25">
      <c r="A51" s="368" t="s">
        <v>2334</v>
      </c>
      <c r="B51" s="435">
        <f>'01-gen gov'!E154+'02-assessing'!E91+'03-fire'!E279+'04-police'!E244+'05-comm'!E121+'06-code enforcement'!E131+'07-pub works'!E117+'08-highway'!E221+'09-solid waste'!E161+'13-parks &amp; rec'!E156+'15-library'!E159+'16-equip mntc'!E108+'21-comm dev'!E106+'24-tax coll'!E116+'25-welfare'!F43+'10-wastewater'!E276+'32-Media'!E82</f>
        <v>204908</v>
      </c>
      <c r="C51" s="435">
        <f>'01-gen gov'!F154+'02-assessing'!F91+'03-fire'!F279+'04-police'!F244+'05-comm'!F121+'06-code enforcement'!F131+'07-pub works'!F117+'08-highway'!F221+'09-solid waste'!F161+'13-parks &amp; rec'!F156+'15-library'!F159+'16-equip mntc'!F108+'21-comm dev'!F106+'24-tax coll'!F116+'25-welfare'!G43+'10-wastewater'!F276+'32-Media'!F82</f>
        <v>125378</v>
      </c>
      <c r="D51" s="435">
        <f>'01-gen gov'!G154+'02-assessing'!G91+'03-fire'!G279+'04-police'!G244+'05-comm'!G121+'06-code enforcement'!G131+'07-pub works'!G117+'08-highway'!G221+'09-solid waste'!G161+'13-parks &amp; rec'!G156+'15-library'!G159+'16-equip mntc'!G108+'21-comm dev'!G106+'24-tax coll'!G116+'25-welfare'!H43+'10-wastewater'!G276+'32-Media'!G82</f>
        <v>163221</v>
      </c>
      <c r="E51" s="217">
        <f t="shared" si="0"/>
        <v>37843</v>
      </c>
    </row>
    <row r="52" spans="1:5" ht="13.5" x14ac:dyDescent="0.25">
      <c r="A52" s="368" t="s">
        <v>2360</v>
      </c>
      <c r="B52" s="435">
        <f>'03-fire'!E285+'04-police'!E251+'05-comm'!E133+'08-highway'!E227+'09-solid waste'!E166</f>
        <v>29085</v>
      </c>
      <c r="C52" s="435">
        <f>'03-fire'!F285+'04-police'!F251+'05-comm'!F133+'08-highway'!F227+'09-solid waste'!F166</f>
        <v>70181</v>
      </c>
      <c r="D52" s="435">
        <f>'03-fire'!G285+'04-police'!G251+'05-comm'!G133+'08-highway'!G227+'09-solid waste'!G166</f>
        <v>71569</v>
      </c>
      <c r="E52" s="217">
        <f t="shared" si="0"/>
        <v>1388</v>
      </c>
    </row>
    <row r="53" spans="1:5" ht="13.5" x14ac:dyDescent="0.25">
      <c r="A53" s="368" t="s">
        <v>2361</v>
      </c>
      <c r="B53" s="435">
        <f>'03-fire'!E289</f>
        <v>13379</v>
      </c>
      <c r="C53" s="435">
        <f>'03-fire'!F289</f>
        <v>17920</v>
      </c>
      <c r="D53" s="435">
        <f>'03-fire'!G289</f>
        <v>19950</v>
      </c>
      <c r="E53" s="217">
        <f t="shared" si="0"/>
        <v>2030</v>
      </c>
    </row>
    <row r="54" spans="1:5" ht="13.5" x14ac:dyDescent="0.25">
      <c r="A54" s="368" t="s">
        <v>2382</v>
      </c>
      <c r="B54" s="435">
        <f>'08-highway'!E232</f>
        <v>190330</v>
      </c>
      <c r="C54" s="435">
        <f>'08-highway'!F232</f>
        <v>194480</v>
      </c>
      <c r="D54" s="435">
        <f>'08-highway'!G232</f>
        <v>201135</v>
      </c>
      <c r="E54" s="217">
        <f t="shared" si="0"/>
        <v>6655</v>
      </c>
    </row>
    <row r="55" spans="1:5" ht="13.5" x14ac:dyDescent="0.25">
      <c r="A55" s="368" t="s">
        <v>2383</v>
      </c>
      <c r="B55" s="435">
        <f>'08-highway'!E240</f>
        <v>5077</v>
      </c>
      <c r="C55" s="435">
        <f>'08-highway'!F240</f>
        <v>2500</v>
      </c>
      <c r="D55" s="435">
        <f>'08-highway'!G240</f>
        <v>5000</v>
      </c>
      <c r="E55" s="217">
        <f t="shared" si="0"/>
        <v>2500</v>
      </c>
    </row>
    <row r="56" spans="1:5" ht="13.5" x14ac:dyDescent="0.25">
      <c r="A56" s="368" t="s">
        <v>2384</v>
      </c>
      <c r="B56" s="435">
        <f>'08-highway'!E243</f>
        <v>13832</v>
      </c>
      <c r="C56" s="435">
        <f>'08-highway'!F243</f>
        <v>14000</v>
      </c>
      <c r="D56" s="435">
        <f>'08-highway'!G243</f>
        <v>14000</v>
      </c>
      <c r="E56" s="217">
        <f t="shared" si="0"/>
        <v>0</v>
      </c>
    </row>
    <row r="57" spans="1:5" ht="13.5" x14ac:dyDescent="0.25">
      <c r="A57" s="368" t="s">
        <v>2385</v>
      </c>
      <c r="B57" s="435">
        <f>'08-highway'!E247</f>
        <v>5910</v>
      </c>
      <c r="C57" s="435">
        <f>'08-highway'!F247</f>
        <v>12500</v>
      </c>
      <c r="D57" s="435">
        <f>'08-highway'!G247</f>
        <v>9000</v>
      </c>
      <c r="E57" s="217">
        <f t="shared" si="0"/>
        <v>-3500</v>
      </c>
    </row>
    <row r="58" spans="1:5" ht="13.5" x14ac:dyDescent="0.25">
      <c r="A58" s="368" t="s">
        <v>2386</v>
      </c>
      <c r="B58" s="435">
        <f>'08-highway'!E250</f>
        <v>3635</v>
      </c>
      <c r="C58" s="435">
        <f>'08-highway'!F250</f>
        <v>7500</v>
      </c>
      <c r="D58" s="435">
        <f>'08-highway'!G250</f>
        <v>7500</v>
      </c>
      <c r="E58" s="217">
        <f t="shared" si="0"/>
        <v>0</v>
      </c>
    </row>
    <row r="59" spans="1:5" ht="13.5" x14ac:dyDescent="0.25">
      <c r="A59" s="368" t="s">
        <v>2397</v>
      </c>
      <c r="B59" s="434">
        <f>'09-solid waste'!E169</f>
        <v>0</v>
      </c>
      <c r="C59" s="434">
        <f>'09-solid waste'!F169</f>
        <v>0</v>
      </c>
      <c r="D59" s="434">
        <f>'09-solid waste'!G169</f>
        <v>0</v>
      </c>
      <c r="E59" s="217">
        <f t="shared" si="0"/>
        <v>0</v>
      </c>
    </row>
    <row r="60" spans="1:5" ht="13.5" x14ac:dyDescent="0.25">
      <c r="A60" s="368" t="s">
        <v>2335</v>
      </c>
      <c r="B60" s="435">
        <f>'01-gen gov'!E162+'08-highway'!E255+'21-comm dev'!E109+'10-wastewater'!E287+'32-Media'!E84</f>
        <v>46086</v>
      </c>
      <c r="C60" s="435">
        <f>'01-gen gov'!F162+'08-highway'!F255+'21-comm dev'!F109+'10-wastewater'!F287+'32-Media'!F84</f>
        <v>54500</v>
      </c>
      <c r="D60" s="435">
        <f>'01-gen gov'!G162+'08-highway'!G255+'21-comm dev'!G109+'10-wastewater'!G287+'32-Media'!G84</f>
        <v>54500</v>
      </c>
      <c r="E60" s="217">
        <f t="shared" si="0"/>
        <v>0</v>
      </c>
    </row>
    <row r="61" spans="1:5" ht="13.5" x14ac:dyDescent="0.25">
      <c r="A61" s="368" t="s">
        <v>2336</v>
      </c>
      <c r="B61" s="435">
        <f>'01-gen gov'!E167+'02-assessing'!E98+'03-fire'!E299+'04-police'!E254+'05-comm'!E140+'06-code enforcement'!E135+'07-pub works'!E123+'08-highway'!E260+'09-solid waste'!E172+'13-parks &amp; rec'!E159+'15-library'!E164+'16-equip mntc'!E114+'17-bldg &amp; grounds'!E130+'21-comm dev'!E112+'24-tax coll'!E125+'25-welfare'!F46+'10-wastewater'!E292+'32-Media'!E86</f>
        <v>116144</v>
      </c>
      <c r="C61" s="435">
        <f>'01-gen gov'!F167+'02-assessing'!F98+'03-fire'!F299+'04-police'!F254+'05-comm'!F140+'06-code enforcement'!F135+'07-pub works'!F123+'08-highway'!F260+'09-solid waste'!F172+'13-parks &amp; rec'!F159+'15-library'!F164+'16-equip mntc'!F114+'17-bldg &amp; grounds'!F130+'21-comm dev'!F112+'24-tax coll'!F125+'25-welfare'!G46+'10-wastewater'!F292+'32-Media'!F86</f>
        <v>175697</v>
      </c>
      <c r="D61" s="435">
        <f>'01-gen gov'!G167+'02-assessing'!G98+'03-fire'!G299+'04-police'!G254+'05-comm'!G140+'06-code enforcement'!G135+'07-pub works'!G123+'08-highway'!G260+'09-solid waste'!G172+'13-parks &amp; rec'!G159+'15-library'!G164+'16-equip mntc'!G114+'17-bldg &amp; grounds'!G130+'21-comm dev'!G112+'24-tax coll'!G125+'25-welfare'!H46+'10-wastewater'!G292+'32-Media'!G86</f>
        <v>180652</v>
      </c>
      <c r="E61" s="217">
        <f t="shared" si="0"/>
        <v>4955</v>
      </c>
    </row>
    <row r="62" spans="1:5" ht="13.5" x14ac:dyDescent="0.25">
      <c r="A62" s="368" t="s">
        <v>2337</v>
      </c>
      <c r="B62" s="435">
        <f>'01-gen gov'!E178+'15-library'!E167</f>
        <v>198760</v>
      </c>
      <c r="C62" s="435">
        <f>'01-gen gov'!F178+'15-library'!F167</f>
        <v>178190</v>
      </c>
      <c r="D62" s="435">
        <f>'01-gen gov'!G178+'15-library'!G167</f>
        <v>265077</v>
      </c>
      <c r="E62" s="217">
        <f t="shared" si="0"/>
        <v>86887</v>
      </c>
    </row>
    <row r="63" spans="1:5" ht="13.5" x14ac:dyDescent="0.25">
      <c r="A63" s="368" t="s">
        <v>2387</v>
      </c>
      <c r="B63" s="435">
        <f>'08-highway'!E263</f>
        <v>18843</v>
      </c>
      <c r="C63" s="435">
        <f>'08-highway'!F263</f>
        <v>15000</v>
      </c>
      <c r="D63" s="435">
        <f>'08-highway'!G263</f>
        <v>19000</v>
      </c>
      <c r="E63" s="217">
        <f t="shared" si="0"/>
        <v>4000</v>
      </c>
    </row>
    <row r="64" spans="1:5" ht="13.5" x14ac:dyDescent="0.25">
      <c r="A64" s="368" t="s">
        <v>2396</v>
      </c>
      <c r="B64" s="435">
        <f>'09-solid waste'!E175</f>
        <v>708789</v>
      </c>
      <c r="C64" s="435">
        <f>'09-solid waste'!F175</f>
        <v>839550</v>
      </c>
      <c r="D64" s="435">
        <f>'09-solid waste'!G175</f>
        <v>765238</v>
      </c>
      <c r="E64" s="217">
        <f t="shared" si="0"/>
        <v>-74312</v>
      </c>
    </row>
    <row r="65" spans="1:5" ht="13.5" x14ac:dyDescent="0.25">
      <c r="A65" s="368" t="s">
        <v>2395</v>
      </c>
      <c r="B65" s="435">
        <f>'09-solid waste'!E180</f>
        <v>142553</v>
      </c>
      <c r="C65" s="435">
        <f>'09-solid waste'!F180</f>
        <v>0</v>
      </c>
      <c r="D65" s="435">
        <f>'09-solid waste'!G180</f>
        <v>147125</v>
      </c>
      <c r="E65" s="217">
        <f t="shared" si="0"/>
        <v>147125</v>
      </c>
    </row>
    <row r="66" spans="1:5" ht="13.5" x14ac:dyDescent="0.25">
      <c r="A66" s="368" t="s">
        <v>2338</v>
      </c>
      <c r="B66" s="435">
        <f>'01-gen gov'!E189+'02-assessing'!E105+'03-fire'!E318+'06-code enforcement'!E139+'07-pub works'!E126+'08-highway'!E269+'09-solid waste'!E183+'13-parks &amp; rec'!E162+'15-library'!E176+'16-equip mntc'!E119+'17-bldg &amp; grounds'!E133+'21-comm dev'!E119+'24-tax coll'!E133+'25-welfare'!F51+'10-wastewater'!E297+'32-Media'!E88</f>
        <v>765384</v>
      </c>
      <c r="C66" s="435">
        <f>'01-gen gov'!F189+'02-assessing'!F105+'03-fire'!F318+'06-code enforcement'!F139+'07-pub works'!F126+'08-highway'!F269+'09-solid waste'!F183+'13-parks &amp; rec'!F162+'15-library'!F176+'16-equip mntc'!F119+'17-bldg &amp; grounds'!F133+'21-comm dev'!F119+'24-tax coll'!F133+'25-welfare'!G51+'10-wastewater'!F297+'32-Media'!F88</f>
        <v>762278</v>
      </c>
      <c r="D66" s="435">
        <f>'01-gen gov'!G189+'02-assessing'!G105+'03-fire'!G318+'06-code enforcement'!G139+'07-pub works'!G126+'08-highway'!G269+'09-solid waste'!G183+'13-parks &amp; rec'!G162+'15-library'!G176+'16-equip mntc'!G119+'17-bldg &amp; grounds'!G133+'21-comm dev'!G119+'24-tax coll'!G133+'25-welfare'!H51+'10-wastewater'!G297+'32-Media'!G88</f>
        <v>885964</v>
      </c>
      <c r="E66" s="217">
        <f t="shared" si="0"/>
        <v>123686</v>
      </c>
    </row>
    <row r="67" spans="1:5" ht="13.5" x14ac:dyDescent="0.25">
      <c r="A67" s="368" t="s">
        <v>2388</v>
      </c>
      <c r="B67" s="435">
        <f>'08-highway'!E284</f>
        <v>50005</v>
      </c>
      <c r="C67" s="435">
        <f>'08-highway'!F284</f>
        <v>53000</v>
      </c>
      <c r="D67" s="435">
        <f>'08-highway'!G284</f>
        <v>53000</v>
      </c>
      <c r="E67" s="217">
        <f t="shared" si="0"/>
        <v>0</v>
      </c>
    </row>
    <row r="68" spans="1:5" ht="13.5" x14ac:dyDescent="0.25">
      <c r="A68" s="368" t="s">
        <v>2389</v>
      </c>
      <c r="B68" s="435">
        <f>'08-highway'!E289</f>
        <v>4275</v>
      </c>
      <c r="C68" s="435">
        <f>'08-highway'!F289</f>
        <v>20000</v>
      </c>
      <c r="D68" s="435">
        <f>'08-highway'!G289</f>
        <v>20000</v>
      </c>
      <c r="E68" s="217">
        <f t="shared" si="0"/>
        <v>0</v>
      </c>
    </row>
    <row r="69" spans="1:5" ht="13.5" x14ac:dyDescent="0.25">
      <c r="A69" s="368" t="s">
        <v>2398</v>
      </c>
      <c r="B69" s="435">
        <f>'09-solid waste'!E193</f>
        <v>29373</v>
      </c>
      <c r="C69" s="435">
        <f>'09-solid waste'!F193</f>
        <v>42000</v>
      </c>
      <c r="D69" s="435">
        <f>'09-solid waste'!G193</f>
        <v>42000</v>
      </c>
      <c r="E69" s="217">
        <f t="shared" si="0"/>
        <v>0</v>
      </c>
    </row>
    <row r="70" spans="1:5" ht="13.5" x14ac:dyDescent="0.25">
      <c r="A70" s="368" t="s">
        <v>2404</v>
      </c>
      <c r="B70" s="435">
        <f>'13-parks &amp; rec'!E165</f>
        <v>22935</v>
      </c>
      <c r="C70" s="435">
        <f>'13-parks &amp; rec'!F165</f>
        <v>0</v>
      </c>
      <c r="D70" s="435">
        <f>'13-parks &amp; rec'!G165</f>
        <v>0</v>
      </c>
      <c r="E70" s="217">
        <f t="shared" si="0"/>
        <v>0</v>
      </c>
    </row>
    <row r="71" spans="1:5" ht="13.5" x14ac:dyDescent="0.25">
      <c r="A71" s="368" t="s">
        <v>2393</v>
      </c>
      <c r="B71" s="435">
        <f>'08-highway'!E294</f>
        <v>56461</v>
      </c>
      <c r="C71" s="435">
        <f>'08-highway'!F294</f>
        <v>51870</v>
      </c>
      <c r="D71" s="435">
        <f>'08-highway'!G294</f>
        <v>53570</v>
      </c>
      <c r="E71" s="217">
        <f t="shared" ref="E71:E130" si="1">D71-C71</f>
        <v>1700</v>
      </c>
    </row>
    <row r="72" spans="1:5" ht="13.5" x14ac:dyDescent="0.25">
      <c r="A72" s="368" t="s">
        <v>2405</v>
      </c>
      <c r="B72" s="435">
        <f>'13-parks &amp; rec'!E168</f>
        <v>79679</v>
      </c>
      <c r="C72" s="435">
        <f>'13-parks &amp; rec'!F168</f>
        <v>79049</v>
      </c>
      <c r="D72" s="435">
        <f>'13-parks &amp; rec'!G168</f>
        <v>82525</v>
      </c>
      <c r="E72" s="217">
        <f t="shared" si="1"/>
        <v>3476</v>
      </c>
    </row>
    <row r="73" spans="1:5" ht="13.5" x14ac:dyDescent="0.25">
      <c r="A73" s="368" t="s">
        <v>2406</v>
      </c>
      <c r="B73" s="435">
        <f>'13-parks &amp; rec'!E187</f>
        <v>27696</v>
      </c>
      <c r="C73" s="435">
        <f>'13-parks &amp; rec'!F187</f>
        <v>50000</v>
      </c>
      <c r="D73" s="435">
        <f>'13-parks &amp; rec'!G187</f>
        <v>40000</v>
      </c>
      <c r="E73" s="217">
        <f t="shared" si="1"/>
        <v>-10000</v>
      </c>
    </row>
    <row r="74" spans="1:5" ht="13.5" x14ac:dyDescent="0.25">
      <c r="A74" s="368" t="s">
        <v>2407</v>
      </c>
      <c r="B74" s="435">
        <f>'13-parks &amp; rec'!E190</f>
        <v>1000</v>
      </c>
      <c r="C74" s="435">
        <f>'13-parks &amp; rec'!F190</f>
        <v>1000</v>
      </c>
      <c r="D74" s="435">
        <f>'13-parks &amp; rec'!G190</f>
        <v>1000</v>
      </c>
      <c r="E74" s="217">
        <f t="shared" si="1"/>
        <v>0</v>
      </c>
    </row>
    <row r="75" spans="1:5" ht="13.5" x14ac:dyDescent="0.25">
      <c r="A75" s="368" t="s">
        <v>2408</v>
      </c>
      <c r="B75" s="435">
        <f>'13-parks &amp; rec'!E193</f>
        <v>13816</v>
      </c>
      <c r="C75" s="435">
        <f>'13-parks &amp; rec'!F193</f>
        <v>13950</v>
      </c>
      <c r="D75" s="435">
        <f>'13-parks &amp; rec'!G193</f>
        <v>13950</v>
      </c>
      <c r="E75" s="217">
        <f t="shared" si="1"/>
        <v>0</v>
      </c>
    </row>
    <row r="76" spans="1:5" ht="13.5" x14ac:dyDescent="0.25">
      <c r="A76" s="368" t="s">
        <v>2402</v>
      </c>
      <c r="B76" s="435">
        <f>'15-library'!E195</f>
        <v>4660</v>
      </c>
      <c r="C76" s="435">
        <f>'15-library'!F195</f>
        <v>6200</v>
      </c>
      <c r="D76" s="435">
        <f>'15-library'!G195</f>
        <v>6200</v>
      </c>
      <c r="E76" s="217">
        <f t="shared" si="1"/>
        <v>0</v>
      </c>
    </row>
    <row r="77" spans="1:5" ht="13.5" x14ac:dyDescent="0.25">
      <c r="A77" s="368" t="s">
        <v>2516</v>
      </c>
      <c r="B77" s="435">
        <v>0</v>
      </c>
      <c r="C77" s="435">
        <v>0</v>
      </c>
      <c r="D77" s="435">
        <v>0</v>
      </c>
      <c r="E77" s="217">
        <f t="shared" si="1"/>
        <v>0</v>
      </c>
    </row>
    <row r="78" spans="1:5" ht="13.5" x14ac:dyDescent="0.25">
      <c r="A78" s="368" t="s">
        <v>2409</v>
      </c>
      <c r="B78" s="435">
        <f>'13-parks &amp; rec'!E205</f>
        <v>4000</v>
      </c>
      <c r="C78" s="435">
        <f>'13-parks &amp; rec'!F205</f>
        <v>8000</v>
      </c>
      <c r="D78" s="435">
        <f>'13-parks &amp; rec'!G205</f>
        <v>8000</v>
      </c>
      <c r="E78" s="217">
        <f t="shared" si="1"/>
        <v>0</v>
      </c>
    </row>
    <row r="79" spans="1:5" ht="13.5" x14ac:dyDescent="0.25">
      <c r="A79" s="368" t="s">
        <v>2410</v>
      </c>
      <c r="B79" s="435">
        <f>'13-parks &amp; rec'!E208</f>
        <v>27690</v>
      </c>
      <c r="C79" s="435">
        <f>'13-parks &amp; rec'!F208</f>
        <v>27690</v>
      </c>
      <c r="D79" s="435">
        <f>'13-parks &amp; rec'!G208</f>
        <v>27690</v>
      </c>
      <c r="E79" s="217">
        <f t="shared" si="1"/>
        <v>0</v>
      </c>
    </row>
    <row r="80" spans="1:5" ht="13.5" x14ac:dyDescent="0.25">
      <c r="A80" s="368" t="s">
        <v>2431</v>
      </c>
      <c r="B80" s="435">
        <f>'10-wastewater'!E308</f>
        <v>1556</v>
      </c>
      <c r="C80" s="435">
        <f>'10-wastewater'!F308</f>
        <v>8000</v>
      </c>
      <c r="D80" s="435">
        <f>'10-wastewater'!G308</f>
        <v>8000</v>
      </c>
      <c r="E80" s="217">
        <f t="shared" si="1"/>
        <v>0</v>
      </c>
    </row>
    <row r="81" spans="1:5" ht="13.5" x14ac:dyDescent="0.25">
      <c r="A81" s="368" t="s">
        <v>2390</v>
      </c>
      <c r="B81" s="435">
        <f>'08-highway'!E311</f>
        <v>2500</v>
      </c>
      <c r="C81" s="435">
        <f>'08-highway'!F311</f>
        <v>12000</v>
      </c>
      <c r="D81" s="435">
        <f>'08-highway'!G311</f>
        <v>12000</v>
      </c>
      <c r="E81" s="217">
        <f t="shared" si="1"/>
        <v>0</v>
      </c>
    </row>
    <row r="82" spans="1:5" ht="13.5" x14ac:dyDescent="0.25">
      <c r="A82" s="368" t="s">
        <v>2391</v>
      </c>
      <c r="B82" s="435">
        <f>'08-highway'!E314</f>
        <v>0</v>
      </c>
      <c r="C82" s="435">
        <f>'08-highway'!F314</f>
        <v>4000</v>
      </c>
      <c r="D82" s="435">
        <f>'08-highway'!G314</f>
        <v>4000</v>
      </c>
      <c r="E82" s="217">
        <f t="shared" si="1"/>
        <v>0</v>
      </c>
    </row>
    <row r="83" spans="1:5" ht="13.5" x14ac:dyDescent="0.25">
      <c r="A83" s="368" t="s">
        <v>2394</v>
      </c>
      <c r="B83" s="435">
        <f>'09-solid waste'!E199</f>
        <v>26633</v>
      </c>
      <c r="C83" s="435">
        <f>'09-solid waste'!F199</f>
        <v>76700</v>
      </c>
      <c r="D83" s="435">
        <f>'09-solid waste'!G199</f>
        <v>76700</v>
      </c>
      <c r="E83" s="217">
        <f t="shared" si="1"/>
        <v>0</v>
      </c>
    </row>
    <row r="84" spans="1:5" ht="13.5" x14ac:dyDescent="0.25">
      <c r="A84" s="368" t="s">
        <v>2411</v>
      </c>
      <c r="B84" s="435">
        <f>'21-comm dev'!E124</f>
        <v>337</v>
      </c>
      <c r="C84" s="435">
        <f>'21-comm dev'!F124</f>
        <v>500</v>
      </c>
      <c r="D84" s="435">
        <f>'21-comm dev'!G124</f>
        <v>500</v>
      </c>
      <c r="E84" s="217">
        <f t="shared" si="1"/>
        <v>0</v>
      </c>
    </row>
    <row r="85" spans="1:5" ht="13.5" x14ac:dyDescent="0.25">
      <c r="A85" s="368" t="s">
        <v>2412</v>
      </c>
      <c r="B85" s="435">
        <f>'21-comm dev'!E127</f>
        <v>1148</v>
      </c>
      <c r="C85" s="435">
        <f>'21-comm dev'!F127</f>
        <v>5168</v>
      </c>
      <c r="D85" s="435">
        <f>'21-comm dev'!G127</f>
        <v>5168</v>
      </c>
      <c r="E85" s="217">
        <f t="shared" si="1"/>
        <v>0</v>
      </c>
    </row>
    <row r="86" spans="1:5" ht="13.5" x14ac:dyDescent="0.25">
      <c r="A86" s="368" t="s">
        <v>2380</v>
      </c>
      <c r="B86" s="435">
        <f>'25-welfare'!F57</f>
        <v>76905</v>
      </c>
      <c r="C86" s="435">
        <f>'25-welfare'!G57</f>
        <v>78568</v>
      </c>
      <c r="D86" s="435">
        <f>'25-welfare'!H57</f>
        <v>81245</v>
      </c>
      <c r="E86" s="217">
        <f t="shared" si="1"/>
        <v>2677</v>
      </c>
    </row>
    <row r="87" spans="1:5" ht="13.5" x14ac:dyDescent="0.25">
      <c r="A87" s="368" t="s">
        <v>2339</v>
      </c>
      <c r="B87" s="435">
        <f>'01-gen gov'!E200</f>
        <v>38866</v>
      </c>
      <c r="C87" s="435">
        <f>'01-gen gov'!F200</f>
        <v>38866</v>
      </c>
      <c r="D87" s="435">
        <f>'01-gen gov'!G200</f>
        <v>38866</v>
      </c>
      <c r="E87" s="217">
        <f t="shared" si="1"/>
        <v>0</v>
      </c>
    </row>
    <row r="88" spans="1:5" ht="13.5" x14ac:dyDescent="0.25">
      <c r="A88" s="368" t="s">
        <v>2377</v>
      </c>
      <c r="B88" s="435">
        <f>'03-fire'!E325</f>
        <v>2704</v>
      </c>
      <c r="C88" s="435">
        <f>'03-fire'!F325</f>
        <v>7330</v>
      </c>
      <c r="D88" s="435">
        <f>'03-fire'!G325</f>
        <v>7330</v>
      </c>
      <c r="E88" s="217">
        <f t="shared" si="1"/>
        <v>0</v>
      </c>
    </row>
    <row r="89" spans="1:5" ht="13.5" x14ac:dyDescent="0.25">
      <c r="A89" s="368" t="s">
        <v>2340</v>
      </c>
      <c r="B89" s="435">
        <f>'01-gen gov'!E203</f>
        <v>10030</v>
      </c>
      <c r="C89" s="435">
        <f>'01-gen gov'!F203</f>
        <v>10425</v>
      </c>
      <c r="D89" s="435">
        <f>'01-gen gov'!G203</f>
        <v>10000</v>
      </c>
      <c r="E89" s="217">
        <f t="shared" si="1"/>
        <v>-425</v>
      </c>
    </row>
    <row r="90" spans="1:5" ht="13.5" x14ac:dyDescent="0.25">
      <c r="A90" s="368" t="s">
        <v>2365</v>
      </c>
      <c r="B90" s="435">
        <f>'03-fire'!E333</f>
        <v>6404</v>
      </c>
      <c r="C90" s="435">
        <f>'03-fire'!F333</f>
        <v>0</v>
      </c>
      <c r="D90" s="435">
        <f>'03-fire'!G333</f>
        <v>0</v>
      </c>
      <c r="E90" s="217">
        <f t="shared" si="1"/>
        <v>0</v>
      </c>
    </row>
    <row r="91" spans="1:5" ht="13.5" x14ac:dyDescent="0.25">
      <c r="A91" s="368" t="s">
        <v>2341</v>
      </c>
      <c r="B91" s="435">
        <f>'01-gen gov'!E221</f>
        <v>0</v>
      </c>
      <c r="C91" s="435">
        <f>'01-gen gov'!F221</f>
        <v>0</v>
      </c>
      <c r="D91" s="435">
        <f>'01-gen gov'!G221</f>
        <v>0</v>
      </c>
      <c r="E91" s="217">
        <f t="shared" si="1"/>
        <v>0</v>
      </c>
    </row>
    <row r="92" spans="1:5" ht="13.5" x14ac:dyDescent="0.25">
      <c r="A92" s="368" t="s">
        <v>2342</v>
      </c>
      <c r="B92" s="435">
        <f>'01-gen gov'!E227</f>
        <v>14171</v>
      </c>
      <c r="C92" s="435">
        <f>'01-gen gov'!F227</f>
        <v>38522</v>
      </c>
      <c r="D92" s="435">
        <f>'01-gen gov'!G227</f>
        <v>29384</v>
      </c>
      <c r="E92" s="217">
        <f t="shared" si="1"/>
        <v>-9138</v>
      </c>
    </row>
    <row r="93" spans="1:5" ht="13.5" x14ac:dyDescent="0.25">
      <c r="A93" s="368" t="s">
        <v>2343</v>
      </c>
      <c r="B93" s="435">
        <f>'01-gen gov'!E245+'02-assessing'!E110+'03-fire'!E336+'04-police'!E262+'07-pub works'!E133+'15-library'!E203+'21-comm dev'!E140+'24-tax coll'!E137+'10-wastewater'!E314+'32-Media'!E93</f>
        <v>30910</v>
      </c>
      <c r="C93" s="435">
        <f>'01-gen gov'!F245+'02-assessing'!F110+'03-fire'!F336+'04-police'!F262+'07-pub works'!F133+'15-library'!F203+'21-comm dev'!F140+'24-tax coll'!F137+'10-wastewater'!F314+'32-Media'!F93</f>
        <v>21557</v>
      </c>
      <c r="D93" s="435">
        <f>'01-gen gov'!G245+'02-assessing'!G110+'03-fire'!G336+'04-police'!G262+'07-pub works'!G133+'15-library'!G203+'21-comm dev'!G140+'24-tax coll'!G137+'10-wastewater'!G314+'32-Media'!G93</f>
        <v>26557</v>
      </c>
      <c r="E93" s="217">
        <f t="shared" si="1"/>
        <v>5000</v>
      </c>
    </row>
    <row r="94" spans="1:5" ht="13.5" x14ac:dyDescent="0.25">
      <c r="A94" s="368" t="s">
        <v>2366</v>
      </c>
      <c r="B94" s="435">
        <f>'04-police'!E265</f>
        <v>1100</v>
      </c>
      <c r="C94" s="435">
        <f>'04-police'!F265</f>
        <v>700</v>
      </c>
      <c r="D94" s="435">
        <f>'04-police'!G265</f>
        <v>1100</v>
      </c>
      <c r="E94" s="217">
        <f t="shared" si="1"/>
        <v>400</v>
      </c>
    </row>
    <row r="95" spans="1:5" ht="13.5" x14ac:dyDescent="0.25">
      <c r="A95" s="368" t="s">
        <v>2414</v>
      </c>
      <c r="B95" s="435">
        <f>'24-tax coll'!E140</f>
        <v>1047</v>
      </c>
      <c r="C95" s="435">
        <f>'24-tax coll'!F140</f>
        <v>1025</v>
      </c>
      <c r="D95" s="435">
        <f>'24-tax coll'!G140</f>
        <v>1300</v>
      </c>
      <c r="E95" s="217">
        <f t="shared" si="1"/>
        <v>275</v>
      </c>
    </row>
    <row r="96" spans="1:5" ht="13.5" x14ac:dyDescent="0.25">
      <c r="A96" s="368" t="s">
        <v>2367</v>
      </c>
      <c r="B96" s="435">
        <f>'04-police'!E270</f>
        <v>1129</v>
      </c>
      <c r="C96" s="435">
        <f>'04-police'!F270</f>
        <v>5000</v>
      </c>
      <c r="D96" s="435">
        <f>'04-police'!G270</f>
        <v>5000</v>
      </c>
      <c r="E96" s="217">
        <f t="shared" si="1"/>
        <v>0</v>
      </c>
    </row>
    <row r="97" spans="1:5" ht="13.5" x14ac:dyDescent="0.25">
      <c r="A97" s="368" t="s">
        <v>2392</v>
      </c>
      <c r="B97" s="435">
        <f>'08-highway'!E318</f>
        <v>0</v>
      </c>
      <c r="C97" s="435">
        <f>'08-highway'!F318</f>
        <v>0</v>
      </c>
      <c r="D97" s="435">
        <f>'08-highway'!G318</f>
        <v>1000</v>
      </c>
      <c r="E97" s="217">
        <f t="shared" si="1"/>
        <v>1000</v>
      </c>
    </row>
    <row r="98" spans="1:5" ht="13.5" x14ac:dyDescent="0.25">
      <c r="A98" s="368" t="s">
        <v>2403</v>
      </c>
      <c r="B98" s="435">
        <f>'15-library'!E206</f>
        <v>117827</v>
      </c>
      <c r="C98" s="435">
        <f>'15-library'!F206</f>
        <v>125058</v>
      </c>
      <c r="D98" s="435">
        <f>'15-library'!G206</f>
        <v>102958</v>
      </c>
      <c r="E98" s="217">
        <f t="shared" si="1"/>
        <v>-22100</v>
      </c>
    </row>
    <row r="99" spans="1:5" ht="13.5" x14ac:dyDescent="0.25">
      <c r="A99" s="368" t="s">
        <v>2413</v>
      </c>
      <c r="B99" s="435">
        <f>'21-comm dev'!E143</f>
        <v>0</v>
      </c>
      <c r="C99" s="435">
        <f>'21-comm dev'!F143</f>
        <v>0</v>
      </c>
      <c r="D99" s="435">
        <f>'21-comm dev'!G143</f>
        <v>0</v>
      </c>
      <c r="E99" s="217">
        <f t="shared" si="1"/>
        <v>0</v>
      </c>
    </row>
    <row r="100" spans="1:5" ht="13.5" x14ac:dyDescent="0.25">
      <c r="A100" s="368" t="s">
        <v>2364</v>
      </c>
      <c r="B100" s="435">
        <f>'03-fire'!E339</f>
        <v>18872</v>
      </c>
      <c r="C100" s="435">
        <f>'03-fire'!F339</f>
        <v>21665</v>
      </c>
      <c r="D100" s="435">
        <f>'03-fire'!G339</f>
        <v>21665</v>
      </c>
      <c r="E100" s="217">
        <f t="shared" si="1"/>
        <v>0</v>
      </c>
    </row>
    <row r="101" spans="1:5" ht="13.5" x14ac:dyDescent="0.25">
      <c r="A101" s="368" t="s">
        <v>2344</v>
      </c>
      <c r="B101" s="435">
        <f>'01-gen gov'!E248+'04-police'!E275+'07-pub works'!E136+'08-highway'!E321+'09-solid waste'!E208+'15-library'!E234+'21-comm dev'!E145+'24-tax coll'!E143+'10-wastewater'!E317+'32-Media'!E95</f>
        <v>32531</v>
      </c>
      <c r="C101" s="435">
        <f>'01-gen gov'!F248+'04-police'!F275+'07-pub works'!F136+'08-highway'!F321+'09-solid waste'!F208+'15-library'!F234+'21-comm dev'!F145+'24-tax coll'!F143+'10-wastewater'!F317+'32-Media'!F95</f>
        <v>38937</v>
      </c>
      <c r="D101" s="435">
        <f>'01-gen gov'!G248+'04-police'!G275+'07-pub works'!G136+'08-highway'!G321+'09-solid waste'!G208+'15-library'!G234+'21-comm dev'!G145+'24-tax coll'!G143+'10-wastewater'!G317+'32-Media'!G95</f>
        <v>40937</v>
      </c>
      <c r="E101" s="217">
        <f t="shared" si="1"/>
        <v>2000</v>
      </c>
    </row>
    <row r="102" spans="1:5" ht="13.5" x14ac:dyDescent="0.25">
      <c r="A102" s="368" t="s">
        <v>2415</v>
      </c>
      <c r="B102" s="435">
        <f>'25-welfare'!F74</f>
        <v>14520</v>
      </c>
      <c r="C102" s="435">
        <f>'25-welfare'!G74</f>
        <v>35000</v>
      </c>
      <c r="D102" s="435">
        <f>'25-welfare'!H74</f>
        <v>38300</v>
      </c>
      <c r="E102" s="217">
        <f t="shared" si="1"/>
        <v>3300</v>
      </c>
    </row>
    <row r="103" spans="1:5" ht="13.5" x14ac:dyDescent="0.25">
      <c r="A103" s="368" t="s">
        <v>2416</v>
      </c>
      <c r="B103" s="435">
        <f>'25-welfare'!F75</f>
        <v>138</v>
      </c>
      <c r="C103" s="435">
        <f>'25-welfare'!G75</f>
        <v>1300</v>
      </c>
      <c r="D103" s="435">
        <f>'25-welfare'!H75</f>
        <v>1400</v>
      </c>
      <c r="E103" s="217">
        <f t="shared" si="1"/>
        <v>100</v>
      </c>
    </row>
    <row r="104" spans="1:5" ht="13.5" x14ac:dyDescent="0.25">
      <c r="A104" s="368" t="s">
        <v>2417</v>
      </c>
      <c r="B104" s="435">
        <f>'25-welfare'!F76</f>
        <v>57</v>
      </c>
      <c r="C104" s="435">
        <f>'25-welfare'!G76</f>
        <v>400</v>
      </c>
      <c r="D104" s="435">
        <f>'25-welfare'!H76</f>
        <v>450</v>
      </c>
      <c r="E104" s="217">
        <f t="shared" si="1"/>
        <v>50</v>
      </c>
    </row>
    <row r="105" spans="1:5" ht="13.5" x14ac:dyDescent="0.25">
      <c r="A105" s="368" t="s">
        <v>2418</v>
      </c>
      <c r="B105" s="435">
        <f>'25-welfare'!F77</f>
        <v>0</v>
      </c>
      <c r="C105" s="435">
        <f>'25-welfare'!G77</f>
        <v>800</v>
      </c>
      <c r="D105" s="435">
        <f>'25-welfare'!H77</f>
        <v>1200</v>
      </c>
      <c r="E105" s="217">
        <f t="shared" si="1"/>
        <v>400</v>
      </c>
    </row>
    <row r="106" spans="1:5" ht="13.5" x14ac:dyDescent="0.25">
      <c r="A106" s="368" t="s">
        <v>2419</v>
      </c>
      <c r="B106" s="435">
        <f>'25-welfare'!F78</f>
        <v>0</v>
      </c>
      <c r="C106" s="435">
        <f>'25-welfare'!G78</f>
        <v>50</v>
      </c>
      <c r="D106" s="435">
        <f>'25-welfare'!H78</f>
        <v>50</v>
      </c>
      <c r="E106" s="217">
        <f t="shared" si="1"/>
        <v>0</v>
      </c>
    </row>
    <row r="107" spans="1:5" ht="13.5" x14ac:dyDescent="0.25">
      <c r="A107" s="368" t="s">
        <v>2420</v>
      </c>
      <c r="B107" s="435">
        <f>'25-welfare'!F79</f>
        <v>0</v>
      </c>
      <c r="C107" s="435">
        <f>'25-welfare'!G79</f>
        <v>1</v>
      </c>
      <c r="D107" s="435">
        <f>'25-welfare'!H79</f>
        <v>1</v>
      </c>
      <c r="E107" s="217">
        <f t="shared" si="1"/>
        <v>0</v>
      </c>
    </row>
    <row r="108" spans="1:5" ht="13.5" x14ac:dyDescent="0.25">
      <c r="A108" s="368" t="s">
        <v>2421</v>
      </c>
      <c r="B108" s="435">
        <f>'25-welfare'!F80</f>
        <v>0</v>
      </c>
      <c r="C108" s="435">
        <f>'25-welfare'!G80</f>
        <v>200</v>
      </c>
      <c r="D108" s="435">
        <f>'25-welfare'!H80</f>
        <v>300</v>
      </c>
      <c r="E108" s="217">
        <f t="shared" si="1"/>
        <v>100</v>
      </c>
    </row>
    <row r="109" spans="1:5" ht="13.5" x14ac:dyDescent="0.25">
      <c r="A109" s="368" t="s">
        <v>2422</v>
      </c>
      <c r="B109" s="435">
        <f>'25-welfare'!F81</f>
        <v>0</v>
      </c>
      <c r="C109" s="435">
        <f>'25-welfare'!G81</f>
        <v>1</v>
      </c>
      <c r="D109" s="435">
        <f>'25-welfare'!H81</f>
        <v>1</v>
      </c>
      <c r="E109" s="217">
        <f t="shared" si="1"/>
        <v>0</v>
      </c>
    </row>
    <row r="110" spans="1:5" ht="13.5" x14ac:dyDescent="0.25">
      <c r="A110" s="368" t="s">
        <v>2423</v>
      </c>
      <c r="B110" s="435">
        <f>'25-welfare'!F82</f>
        <v>0</v>
      </c>
      <c r="C110" s="435">
        <f>'25-welfare'!G82</f>
        <v>1</v>
      </c>
      <c r="D110" s="435">
        <f>'25-welfare'!H82</f>
        <v>1</v>
      </c>
      <c r="E110" s="217">
        <f t="shared" si="1"/>
        <v>0</v>
      </c>
    </row>
    <row r="111" spans="1:5" ht="13.5" x14ac:dyDescent="0.25">
      <c r="A111" s="368" t="s">
        <v>2424</v>
      </c>
      <c r="B111" s="435">
        <f>'25-welfare'!F83</f>
        <v>5</v>
      </c>
      <c r="C111" s="435">
        <f>'25-welfare'!G83</f>
        <v>1000</v>
      </c>
      <c r="D111" s="435">
        <f>'25-welfare'!H83</f>
        <v>1000</v>
      </c>
      <c r="E111" s="217">
        <f t="shared" si="1"/>
        <v>0</v>
      </c>
    </row>
    <row r="112" spans="1:5" ht="13.5" x14ac:dyDescent="0.25">
      <c r="A112" s="368" t="s">
        <v>2425</v>
      </c>
      <c r="B112" s="435">
        <f>'25-welfare'!F84</f>
        <v>0</v>
      </c>
      <c r="C112" s="435">
        <f>'25-welfare'!G84</f>
        <v>1</v>
      </c>
      <c r="D112" s="435">
        <f>'25-welfare'!H84</f>
        <v>1</v>
      </c>
      <c r="E112" s="217">
        <f t="shared" si="1"/>
        <v>0</v>
      </c>
    </row>
    <row r="113" spans="1:5" ht="13.5" x14ac:dyDescent="0.25">
      <c r="A113" s="368" t="s">
        <v>2426</v>
      </c>
      <c r="B113" s="435">
        <f>'25-welfare'!F85</f>
        <v>0</v>
      </c>
      <c r="C113" s="435">
        <f>'25-welfare'!G85</f>
        <v>1</v>
      </c>
      <c r="D113" s="435">
        <f>'25-welfare'!H85</f>
        <v>1</v>
      </c>
      <c r="E113" s="217">
        <f t="shared" si="1"/>
        <v>0</v>
      </c>
    </row>
    <row r="114" spans="1:5" ht="13.5" x14ac:dyDescent="0.25">
      <c r="A114" s="368" t="s">
        <v>2427</v>
      </c>
      <c r="B114" s="435">
        <f>'25-welfare'!F86</f>
        <v>3000</v>
      </c>
      <c r="C114" s="435">
        <f>'25-welfare'!G86</f>
        <v>1000</v>
      </c>
      <c r="D114" s="435">
        <f>'25-welfare'!H86</f>
        <v>1100</v>
      </c>
      <c r="E114" s="217">
        <f t="shared" si="1"/>
        <v>100</v>
      </c>
    </row>
    <row r="115" spans="1:5" ht="13.5" x14ac:dyDescent="0.25">
      <c r="A115" s="368" t="s">
        <v>2428</v>
      </c>
      <c r="B115" s="435">
        <f>'25-welfare'!F87</f>
        <v>0</v>
      </c>
      <c r="C115" s="435">
        <f>'25-welfare'!G87</f>
        <v>800</v>
      </c>
      <c r="D115" s="435">
        <f>'25-welfare'!H87</f>
        <v>900</v>
      </c>
      <c r="E115" s="217">
        <f t="shared" si="1"/>
        <v>100</v>
      </c>
    </row>
    <row r="116" spans="1:5" ht="13.5" x14ac:dyDescent="0.25">
      <c r="A116" s="368" t="s">
        <v>2429</v>
      </c>
      <c r="B116" s="435">
        <f>'25-welfare'!F88</f>
        <v>0</v>
      </c>
      <c r="C116" s="435">
        <f>'25-welfare'!G88</f>
        <v>1</v>
      </c>
      <c r="D116" s="435">
        <f>'25-welfare'!H88</f>
        <v>1</v>
      </c>
      <c r="E116" s="217">
        <f t="shared" si="1"/>
        <v>0</v>
      </c>
    </row>
    <row r="117" spans="1:5" ht="13.5" x14ac:dyDescent="0.25">
      <c r="A117" s="368" t="s">
        <v>2430</v>
      </c>
      <c r="B117" s="435">
        <f>'25-welfare'!F89</f>
        <v>0</v>
      </c>
      <c r="C117" s="435">
        <f>'25-welfare'!G89</f>
        <v>1</v>
      </c>
      <c r="D117" s="435">
        <f>'25-welfare'!H89</f>
        <v>1</v>
      </c>
      <c r="E117" s="217">
        <f t="shared" si="1"/>
        <v>0</v>
      </c>
    </row>
    <row r="118" spans="1:5" ht="13.5" x14ac:dyDescent="0.25">
      <c r="A118" s="368" t="s">
        <v>2345</v>
      </c>
      <c r="B118" s="435">
        <f>'01-gen gov'!E255</f>
        <v>0</v>
      </c>
      <c r="C118" s="435">
        <f>'01-gen gov'!F255</f>
        <v>1</v>
      </c>
      <c r="D118" s="435">
        <f>'01-gen gov'!G255</f>
        <v>1</v>
      </c>
      <c r="E118" s="217">
        <f t="shared" si="1"/>
        <v>0</v>
      </c>
    </row>
    <row r="119" spans="1:5" ht="13.5" x14ac:dyDescent="0.25">
      <c r="A119" s="368" t="s">
        <v>2346</v>
      </c>
      <c r="B119" s="435">
        <f>'01-gen gov'!E258+'03-fire'!E345+'08-highway'!E325+'09-solid waste'!E211+'15-library'!E237+'17-bldg &amp; grounds'!E137+'10-wastewater'!E320+'32-Media'!E97</f>
        <v>34840</v>
      </c>
      <c r="C119" s="435">
        <f>'01-gen gov'!F258+'03-fire'!F345+'08-highway'!F325+'09-solid waste'!F211+'15-library'!F237+'17-bldg &amp; grounds'!F137+'10-wastewater'!F320+'32-Media'!F97</f>
        <v>3400</v>
      </c>
      <c r="D119" s="435">
        <f>'01-gen gov'!G258+'03-fire'!G345+'08-highway'!G325+'09-solid waste'!G211+'15-library'!G237+'17-bldg &amp; grounds'!G137+'10-wastewater'!G320+'32-Media'!G97</f>
        <v>1877824</v>
      </c>
      <c r="E119" s="217">
        <f t="shared" si="1"/>
        <v>1874424</v>
      </c>
    </row>
    <row r="120" spans="1:5" ht="13.5" x14ac:dyDescent="0.25">
      <c r="A120" s="368" t="s">
        <v>2378</v>
      </c>
      <c r="B120" s="435">
        <f>'03-fire'!E349+'04-police'!E288+'06-code enforcement'!E144+'09-solid waste'!E215+'21-comm dev'!E147+'10-wastewater'!E323</f>
        <v>234930</v>
      </c>
      <c r="C120" s="435">
        <f>'03-fire'!F349+'04-police'!F288+'06-code enforcement'!F144+'09-solid waste'!F215+'21-comm dev'!F147+'10-wastewater'!F323</f>
        <v>121500</v>
      </c>
      <c r="D120" s="435">
        <f>'03-fire'!G349+'04-police'!G288+'06-code enforcement'!G144+'09-solid waste'!G215+'21-comm dev'!G147+'10-wastewater'!G323</f>
        <v>200000</v>
      </c>
      <c r="E120" s="217">
        <f t="shared" si="1"/>
        <v>78500</v>
      </c>
    </row>
    <row r="121" spans="1:5" ht="13.5" x14ac:dyDescent="0.25">
      <c r="A121" s="368" t="s">
        <v>2347</v>
      </c>
      <c r="B121" s="435">
        <f>'01-gen gov'!E262+'02-assessing'!E113+'03-fire'!E353+'04-police'!E293+'05-comm'!E146+'06-code enforcement'!E147+'07-pub works'!E139+'08-highway'!E332+'09-solid waste'!E217+'13-parks &amp; rec'!E236+'15-library'!E239+'21-comm dev'!E150+'24-tax coll'!E146+'25-welfare'!F54+'10-wastewater'!E327+'32-Media'!E99</f>
        <v>164139</v>
      </c>
      <c r="C121" s="435">
        <f>'01-gen gov'!F262+'02-assessing'!F113+'03-fire'!F353+'04-police'!F293+'05-comm'!F146+'06-code enforcement'!F147+'07-pub works'!F139+'08-highway'!F332+'09-solid waste'!F217+'13-parks &amp; rec'!F236+'15-library'!F239+'21-comm dev'!F150+'24-tax coll'!F146+'25-welfare'!G54+'10-wastewater'!F327+'32-Media'!F99</f>
        <v>103000</v>
      </c>
      <c r="D121" s="435">
        <f>'01-gen gov'!G262+'02-assessing'!G113+'03-fire'!G353+'04-police'!G293+'05-comm'!G146+'06-code enforcement'!G147+'07-pub works'!G139+'08-highway'!G332+'09-solid waste'!G217+'13-parks &amp; rec'!G236+'15-library'!G239+'21-comm dev'!G150+'24-tax coll'!G146+'25-welfare'!H54+'10-wastewater'!G327+'32-Media'!G99</f>
        <v>153000</v>
      </c>
      <c r="E121" s="217">
        <f t="shared" si="1"/>
        <v>50000</v>
      </c>
    </row>
    <row r="122" spans="1:5" ht="13.5" x14ac:dyDescent="0.25">
      <c r="A122" s="368" t="s">
        <v>2379</v>
      </c>
      <c r="B122" s="435">
        <f>'08-highway'!E336+'13-parks &amp; rec'!E239+'10-wastewater'!E331</f>
        <v>1861188</v>
      </c>
      <c r="C122" s="435">
        <f>'08-highway'!F336+'13-parks &amp; rec'!F239+'10-wastewater'!F331</f>
        <v>1217500</v>
      </c>
      <c r="D122" s="435">
        <f>'08-highway'!G336+'13-parks &amp; rec'!G239+'10-wastewater'!G331</f>
        <v>2400000</v>
      </c>
      <c r="E122" s="217">
        <f t="shared" si="1"/>
        <v>1182500</v>
      </c>
    </row>
    <row r="123" spans="1:5" ht="13.5" x14ac:dyDescent="0.25">
      <c r="A123" s="368" t="s">
        <v>2362</v>
      </c>
      <c r="B123" s="435">
        <f>'03-fire'!E358+'05-comm'!E149+'08-highway'!E342</f>
        <v>652540</v>
      </c>
      <c r="C123" s="435">
        <f>'03-fire'!F358+'05-comm'!F149+'08-highway'!F342</f>
        <v>845764</v>
      </c>
      <c r="D123" s="435">
        <f>'03-fire'!G358+'05-comm'!G149+'08-highway'!G342</f>
        <v>55000</v>
      </c>
      <c r="E123" s="217">
        <f t="shared" si="1"/>
        <v>-790764</v>
      </c>
    </row>
    <row r="124" spans="1:5" ht="13.5" x14ac:dyDescent="0.25">
      <c r="A124" s="368" t="s">
        <v>2363</v>
      </c>
      <c r="B124" s="435">
        <f>'03-fire'!E363+'04-police'!E296+'08-highway'!E346+'09-solid waste'!E219+'16-equip mntc'!E122+'17-bldg &amp; grounds'!E142+'10-wastewater'!E334</f>
        <v>119339</v>
      </c>
      <c r="C124" s="435">
        <f>'03-fire'!F363+'04-police'!F296+'08-highway'!F346+'09-solid waste'!F219+'16-equip mntc'!F122+'17-bldg &amp; grounds'!F142+'10-wastewater'!F334</f>
        <v>40038</v>
      </c>
      <c r="D124" s="435">
        <f>'03-fire'!G363+'04-police'!G296+'08-highway'!G346+'09-solid waste'!G219+'16-equip mntc'!G122+'17-bldg &amp; grounds'!G142+'10-wastewater'!G334</f>
        <v>81538</v>
      </c>
      <c r="E124" s="217">
        <f t="shared" si="1"/>
        <v>41500</v>
      </c>
    </row>
    <row r="125" spans="1:5" ht="13.5" x14ac:dyDescent="0.25">
      <c r="A125" s="368" t="s">
        <v>2348</v>
      </c>
      <c r="B125" s="435">
        <f>'01-gen gov'!E266+'02-assessing'!E118+'03-fire'!E372+'05-comm'!E153+'08-highway'!E356+'09-solid waste'!E223+'13-parks &amp; rec'!E250+'15-library'!E243+'21-comm dev'!E153+'10-wastewater'!E340</f>
        <v>2380300</v>
      </c>
      <c r="C125" s="435"/>
      <c r="D125" s="435"/>
      <c r="E125" s="217">
        <f t="shared" si="1"/>
        <v>0</v>
      </c>
    </row>
    <row r="126" spans="1:5" ht="13.5" x14ac:dyDescent="0.25">
      <c r="A126" s="368" t="s">
        <v>2381</v>
      </c>
      <c r="B126" s="435">
        <f>'27-debt svc'!B6+'27-debt svc'!B11+'27-debt svc'!B14+'27-debt svc'!B17+'27-debt svc'!B20+'27-debt svc'!B39+'27-debt svc'!B42+'27-debt svc'!B45+'27-debt svc'!B48+'27-debt svc'!B51+'27-debt svc'!B54+'27-debt svc'!B57</f>
        <v>1128617</v>
      </c>
      <c r="C126" s="435">
        <f>'27-debt svc'!C6+'27-debt svc'!C11+'27-debt svc'!C14+'27-debt svc'!C17+'27-debt svc'!C20+'27-debt svc'!C39+'27-debt svc'!C42+'27-debt svc'!C45+'27-debt svc'!C48+'27-debt svc'!C51+'27-debt svc'!C54+'27-debt svc'!C57</f>
        <v>855787</v>
      </c>
      <c r="D126" s="435">
        <f>'27-debt svc'!D6+'27-debt svc'!D11+'27-debt svc'!D14+'27-debt svc'!D17+'27-debt svc'!D20+'27-debt svc'!D39+'27-debt svc'!D42+'27-debt svc'!D45+'27-debt svc'!D48+'27-debt svc'!D51+'27-debt svc'!D54+'27-debt svc'!D57</f>
        <v>682247</v>
      </c>
      <c r="E126" s="217">
        <f t="shared" si="1"/>
        <v>-173540</v>
      </c>
    </row>
    <row r="127" spans="1:5" ht="13.5" x14ac:dyDescent="0.25">
      <c r="A127" s="368" t="s">
        <v>2399</v>
      </c>
      <c r="B127" s="435">
        <f>'33-Fire Protection -other'!E12</f>
        <v>111214</v>
      </c>
      <c r="C127" s="435">
        <f>'33-Fire Protection -other'!F12</f>
        <v>107718</v>
      </c>
      <c r="D127" s="435">
        <f>'33-Fire Protection -other'!G12</f>
        <v>112000</v>
      </c>
      <c r="E127" s="217">
        <f t="shared" si="1"/>
        <v>4282</v>
      </c>
    </row>
    <row r="128" spans="1:5" ht="13.5" x14ac:dyDescent="0.25">
      <c r="A128" s="368" t="s">
        <v>2515</v>
      </c>
      <c r="B128" s="435">
        <f>'43- WWTF capital Project'!E12</f>
        <v>7001133</v>
      </c>
      <c r="C128" s="435">
        <f>'43- WWTF capital Project'!F12</f>
        <v>10102750</v>
      </c>
      <c r="D128" s="435">
        <f>'43- WWTF capital Project'!G12</f>
        <v>0</v>
      </c>
      <c r="E128" s="217">
        <f t="shared" si="1"/>
        <v>-10102750</v>
      </c>
    </row>
    <row r="129" spans="1:6" ht="13.5" x14ac:dyDescent="0.25">
      <c r="A129" s="368" t="s">
        <v>2400</v>
      </c>
      <c r="B129" s="434">
        <f>'45- capital Projects fund'!E12</f>
        <v>0</v>
      </c>
      <c r="C129" s="434">
        <f>'45- capital Projects fund'!F12</f>
        <v>0</v>
      </c>
      <c r="D129" s="434">
        <f>'45- capital Projects fund'!G12</f>
        <v>0</v>
      </c>
      <c r="E129" s="217">
        <f t="shared" si="1"/>
        <v>0</v>
      </c>
    </row>
    <row r="130" spans="1:6" ht="13.5" x14ac:dyDescent="0.25">
      <c r="A130" s="368" t="s">
        <v>2401</v>
      </c>
      <c r="B130" s="435">
        <f>'-other SPECIAL REVENUE FUNDING'!E9+'-other SPECIAL REVENUE FUNDING'!E12</f>
        <v>433307</v>
      </c>
      <c r="C130" s="435">
        <f>'-other SPECIAL REVENUE FUNDING'!F9+'-other SPECIAL REVENUE FUNDING'!F12</f>
        <v>499799</v>
      </c>
      <c r="D130" s="435">
        <f>'-other SPECIAL REVENUE FUNDING'!G9+'-other SPECIAL REVENUE FUNDING'!G12</f>
        <v>499074</v>
      </c>
      <c r="E130" s="217">
        <f t="shared" si="1"/>
        <v>-725</v>
      </c>
    </row>
    <row r="131" spans="1:6" ht="13.5" x14ac:dyDescent="0.25">
      <c r="A131" s="368"/>
      <c r="B131" s="369"/>
      <c r="C131" s="369"/>
      <c r="D131" s="369"/>
      <c r="E131" s="369"/>
    </row>
    <row r="132" spans="1:6" x14ac:dyDescent="0.2">
      <c r="B132" s="217">
        <f>SUM(B6:B130)</f>
        <v>44203850</v>
      </c>
      <c r="C132" s="217">
        <f>SUM(C6:C130)</f>
        <v>46367352</v>
      </c>
      <c r="D132" s="217">
        <f>SUM(D6:D130)</f>
        <v>39343105.547280237</v>
      </c>
      <c r="E132" s="217">
        <f>SUM(E6:E130)</f>
        <v>-7024246.4527197666</v>
      </c>
    </row>
    <row r="134" spans="1:6" x14ac:dyDescent="0.2">
      <c r="B134" s="217">
        <f>'SUMMARY BY FUND'!C40</f>
        <v>44234592</v>
      </c>
      <c r="C134" s="217">
        <f>'SUMMARY BY FUND'!D40</f>
        <v>46371349</v>
      </c>
      <c r="D134" s="217">
        <f>'SUMMARY BY FUND'!E40</f>
        <v>39343105.54728023</v>
      </c>
    </row>
    <row r="136" spans="1:6" x14ac:dyDescent="0.2">
      <c r="B136" s="217">
        <f>B132-B134</f>
        <v>-30742</v>
      </c>
      <c r="C136" s="217">
        <f>C132-C134</f>
        <v>-3997</v>
      </c>
      <c r="D136" s="217">
        <f>D132-D134</f>
        <v>0</v>
      </c>
    </row>
    <row r="137" spans="1:6" x14ac:dyDescent="0.2">
      <c r="B137" s="217"/>
      <c r="C137" s="217"/>
      <c r="D137" s="217"/>
    </row>
    <row r="138" spans="1:6" x14ac:dyDescent="0.2">
      <c r="A138" s="430"/>
      <c r="B138" s="217">
        <f>SUM(B136:B137)</f>
        <v>-30742</v>
      </c>
      <c r="C138" s="217">
        <f>SUM(C136:C137)</f>
        <v>-3997</v>
      </c>
      <c r="D138" s="217">
        <f>SUM(D136:D137)</f>
        <v>0</v>
      </c>
      <c r="E138" s="430"/>
    </row>
    <row r="139" spans="1:6" x14ac:dyDescent="0.2">
      <c r="B139" s="474">
        <f t="shared" ref="B139:C139" si="2">B138/B134</f>
        <v>-6.9497645643481912E-4</v>
      </c>
      <c r="C139" s="474">
        <f t="shared" si="2"/>
        <v>-8.6195465221423692E-5</v>
      </c>
      <c r="D139" s="474">
        <f>D138/D134</f>
        <v>0</v>
      </c>
      <c r="E139" s="430"/>
    </row>
    <row r="143" spans="1:6" x14ac:dyDescent="0.2">
      <c r="A143" s="430" t="s">
        <v>2508</v>
      </c>
      <c r="B143" s="217" t="e">
        <f>'01-gen gov'!B51+'01-gen gov'!B52+'01-gen gov'!B53+'02-assessing'!B54+'02-assessing'!B27+'02-assessing'!B28+'03-fire'!B30+'04-police'!B118+'04-police'!B102+'04-police'!B104+'05-comm'!B107+'05-comm'!B46+'06-code enforcement'!B47+'06-code enforcement'!B40+'06-code enforcement'!B41+'06-code enforcement'!B42+'07-pub works'!B44+'07-pub works'!B40+'07-pub works'!B41+'07-pub works'!B42+'08-highway'!B42+'08-highway'!B72+'08-highway'!B73+'08-highway'!B74+'08-highway'!B75+'09-solid waste'!B76+'09-solid waste'!B45+'09-solid waste'!B46+'09-solid waste'!B47+'09-solid waste'!B48+'13-parks &amp; rec'!B39+'13-parks &amp; rec'!B38+'15-library'!B55+'15-library'!B56+'16-equip mntc'!B37+'16-equip mntc'!B34+'16-equip mntc'!B35+'16-equip mntc'!B36+'17-bldg &amp; grounds'!B28+'17-bldg &amp; grounds'!B27+'21-comm dev'!B28+'21-comm dev'!B29+'21-comm dev'!B30+'24-tax coll'!B47+'24-tax coll'!B44+'24-tax coll'!B45+'24-tax coll'!B46</f>
        <v>#VALUE!</v>
      </c>
      <c r="C143">
        <v>0.1353</v>
      </c>
      <c r="D143" s="431" t="e">
        <f>B143*C143</f>
        <v>#VALUE!</v>
      </c>
      <c r="E143">
        <v>0.1406</v>
      </c>
      <c r="F143" s="431" t="e">
        <f>B143*E143</f>
        <v>#VALUE!</v>
      </c>
    </row>
    <row r="144" spans="1:6" x14ac:dyDescent="0.2">
      <c r="A144" s="430" t="s">
        <v>2511</v>
      </c>
      <c r="B144" s="434">
        <f>'10-wastewater'!B65+'10-wastewater'!B66+'10-wastewater'!B67+'10-wastewater'!B68+'10-wastewater'!B69+'32-Media'!B30</f>
        <v>1608412.609547857</v>
      </c>
      <c r="C144">
        <v>0.1353</v>
      </c>
      <c r="D144" s="431">
        <f>B144*C144</f>
        <v>217618.22607182505</v>
      </c>
      <c r="E144">
        <v>0.1406</v>
      </c>
      <c r="F144" s="431">
        <f>B144*E144</f>
        <v>226142.8129024287</v>
      </c>
    </row>
    <row r="145" spans="1:10" x14ac:dyDescent="0.2">
      <c r="A145" s="430" t="s">
        <v>2509</v>
      </c>
      <c r="B145" s="434">
        <f>'03-fire'!B117+'03-fire'!B118+'03-fire'!B119+'03-fire'!B120</f>
        <v>3770949.1510714283</v>
      </c>
      <c r="C145">
        <v>0.30349999999999999</v>
      </c>
      <c r="D145" s="431">
        <f>B145*C145</f>
        <v>1144483.0673501785</v>
      </c>
      <c r="E145">
        <v>0.32990000000000003</v>
      </c>
      <c r="F145" s="431">
        <f>B145*E145</f>
        <v>1244036.1249384643</v>
      </c>
    </row>
    <row r="146" spans="1:10" x14ac:dyDescent="0.2">
      <c r="A146" s="430" t="s">
        <v>2510</v>
      </c>
      <c r="B146" s="434">
        <f>'04-police'!B103+'04-police'!B105+'04-police'!B106+'04-police'!B108</f>
        <v>4003703</v>
      </c>
      <c r="C146">
        <v>0.31280000000000002</v>
      </c>
      <c r="D146" s="431">
        <f>B146*C146</f>
        <v>1252358.2984000002</v>
      </c>
      <c r="E146">
        <v>0.33879999999999999</v>
      </c>
      <c r="F146" s="431">
        <f>B146*E146</f>
        <v>1356454.5763999999</v>
      </c>
    </row>
    <row r="148" spans="1:10" x14ac:dyDescent="0.2">
      <c r="B148" s="217" t="e">
        <f>SUM(B143:B147)</f>
        <v>#VALUE!</v>
      </c>
      <c r="D148" s="431" t="e">
        <f>SUM(D143:D147)</f>
        <v>#VALUE!</v>
      </c>
      <c r="F148" s="431" t="e">
        <f>SUM(F143:F147)</f>
        <v>#VALUE!</v>
      </c>
    </row>
    <row r="150" spans="1:10" x14ac:dyDescent="0.2">
      <c r="F150" s="431" t="e">
        <f>F148-D148</f>
        <v>#VALUE!</v>
      </c>
    </row>
    <row r="151" spans="1:10" x14ac:dyDescent="0.2">
      <c r="F151" s="431"/>
    </row>
    <row r="152" spans="1:10" x14ac:dyDescent="0.2">
      <c r="F152" s="431"/>
    </row>
    <row r="153" spans="1:10" x14ac:dyDescent="0.2">
      <c r="E153" s="19" t="s">
        <v>250</v>
      </c>
      <c r="F153" s="19" t="s">
        <v>251</v>
      </c>
      <c r="G153" s="19" t="s">
        <v>68</v>
      </c>
      <c r="H153" s="19" t="s">
        <v>432</v>
      </c>
      <c r="I153" s="19" t="s">
        <v>2672</v>
      </c>
    </row>
    <row r="154" spans="1:10" ht="15" x14ac:dyDescent="0.35">
      <c r="E154" s="555" t="s">
        <v>2163</v>
      </c>
      <c r="F154" s="555" t="s">
        <v>2290</v>
      </c>
      <c r="G154" s="555" t="s">
        <v>2507</v>
      </c>
      <c r="H154" s="555" t="s">
        <v>2507</v>
      </c>
      <c r="I154" s="559" t="s">
        <v>2507</v>
      </c>
    </row>
    <row r="155" spans="1:10" x14ac:dyDescent="0.2">
      <c r="A155" s="3" t="s">
        <v>628</v>
      </c>
      <c r="B155" s="3"/>
      <c r="C155" s="3"/>
      <c r="D155" s="3"/>
      <c r="E155" s="3">
        <f>'01-gen gov'!E280+'02-assessing'!E122+'03-fire'!E377+'04-police'!E310+'05-comm'!E157+'06-code enforcement'!E152+'07-pub works'!E144+'08-highway'!E360+'09-solid waste'!E228+'13-parks &amp; rec'!E255+'15-library'!E255+'16-equip mntc'!E130+'17-bldg &amp; grounds'!E152+'21-comm dev'!E159+'24-tax coll'!E153+'25-welfare'!F94+'10-wastewater'!E344+'32-Media'!E112+'33-Fire Protection -other'!E112+'33-Fire Protection -other'!E15+'43- WWTF capital Project'!E15+'45- capital Projects fund'!E15+'-other SPECIAL REVENUE FUNDING'!E9+'-other SPECIAL REVENUE FUNDING'!E12</f>
        <v>23999497</v>
      </c>
      <c r="F155" s="3">
        <f>'01-gen gov'!F280+'02-assessing'!F122+'03-fire'!F377+'04-police'!F310+'05-comm'!F157+'06-code enforcement'!F152+'07-pub works'!F144+'08-highway'!F360+'09-solid waste'!F228+'13-parks &amp; rec'!F255+'15-library'!F255+'16-equip mntc'!F130+'17-bldg &amp; grounds'!F152+'21-comm dev'!F159+'24-tax coll'!F153+'25-welfare'!G94+'10-wastewater'!F344+'32-Media'!F112+'33-Fire Protection -other'!F112+'33-Fire Protection -other'!F15+'43- WWTF capital Project'!F15+'45- capital Projects fund'!F15+'-other SPECIAL REVENUE FUNDING'!F9+'-other SPECIAL REVENUE FUNDING'!F12</f>
        <v>26084619</v>
      </c>
      <c r="G155" s="3">
        <f>'01-gen gov'!G280+'02-assessing'!G122+'03-fire'!G377+'04-police'!G310+'05-comm'!G157+'06-code enforcement'!G152+'07-pub works'!G144+'08-highway'!G360+'09-solid waste'!G228+'13-parks &amp; rec'!G255+'15-library'!G255+'16-equip mntc'!G130+'17-bldg &amp; grounds'!G152+'21-comm dev'!G159+'24-tax coll'!G153+'25-welfare'!H94+'10-wastewater'!G344+'32-Media'!G112+'33-Fire Protection -other'!G112+'33-Fire Protection -other'!G15+'43- WWTF capital Project'!G15+'45- capital Projects fund'!G15+'-other SPECIAL REVENUE FUNDING'!G9+'-other SPECIAL REVENUE FUNDING'!G12</f>
        <v>26287848.897280231</v>
      </c>
      <c r="H155" s="3">
        <f>'01-gen gov'!H280+'02-assessing'!H122+'03-fire'!H377+'04-police'!H310+'05-comm'!H157+'06-code enforcement'!H152+'07-pub works'!H144+'08-highway'!H360+'09-solid waste'!H228+'13-parks &amp; rec'!H255+'15-library'!H255+'16-equip mntc'!H130+'17-bldg &amp; grounds'!H152+'21-comm dev'!H159+'24-tax coll'!H153+'25-welfare'!I94+'10-wastewater'!H344+'32-Media'!H112+'33-Fire Protection -other'!H112+'33-Fire Protection -other'!H15+'43- WWTF capital Project'!H15+'45- capital Projects fund'!H15+'-other SPECIAL REVENUE FUNDING'!H9+'-other SPECIAL REVENUE FUNDING'!H12</f>
        <v>26321319</v>
      </c>
      <c r="I155" s="3">
        <f>'01-gen gov'!I280+'02-assessing'!I122+'03-fire'!I377+'04-police'!I310+'05-comm'!I157+'06-code enforcement'!I152+'07-pub works'!I144+'08-highway'!I360+'09-solid waste'!I228+'13-parks &amp; rec'!I255+'15-library'!I255+'16-equip mntc'!I130+'17-bldg &amp; grounds'!I152+'21-comm dev'!I159+'24-tax coll'!I153+'25-welfare'!J94+'10-wastewater'!I344+'32-Media'!I112+'33-Fire Protection -other'!I112+'33-Fire Protection -other'!I15+'43- WWTF capital Project'!I15+'45- capital Projects fund'!I15+'-other SPECIAL REVENUE FUNDING'!I9+'-other SPECIAL REVENUE FUNDING'!I12</f>
        <v>26492126</v>
      </c>
      <c r="J155" s="217">
        <f>I155-F155</f>
        <v>407507</v>
      </c>
    </row>
    <row r="156" spans="1:10" x14ac:dyDescent="0.2">
      <c r="A156" s="3" t="s">
        <v>1024</v>
      </c>
      <c r="B156" s="3"/>
      <c r="C156" s="3"/>
      <c r="D156" s="3"/>
      <c r="E156" s="3">
        <f>'01-gen gov'!E281+'02-assessing'!E123+'03-fire'!E378+'04-police'!E311+'05-comm'!E158+'06-code enforcement'!E153+'07-pub works'!E145+'08-highway'!E361+'09-solid waste'!E229+'13-parks &amp; rec'!E256+'15-library'!E256+'16-equip mntc'!E131+'17-bldg &amp; grounds'!E153+'21-comm dev'!E160+'24-tax coll'!E154+'25-welfare'!F95+'10-wastewater'!E345+'32-Media'!E113+'33-Fire Protection -other'!E113+'33-Fire Protection -other'!E16+'43- WWTF capital Project'!E16+'45- capital Projects fund'!E16+'-other SPECIAL REVENUE FUNDING'!E10+'-other SPECIAL REVENUE FUNDING'!E13</f>
        <v>6656767</v>
      </c>
      <c r="F156" s="3">
        <f>'01-gen gov'!F281+'02-assessing'!F123+'03-fire'!F378+'04-police'!F311+'05-comm'!F158+'06-code enforcement'!F153+'07-pub works'!F145+'08-highway'!F361+'09-solid waste'!F229+'13-parks &amp; rec'!F256+'15-library'!F256+'16-equip mntc'!F131+'17-bldg &amp; grounds'!F153+'21-comm dev'!F160+'24-tax coll'!F154+'25-welfare'!G95+'10-wastewater'!F345+'32-Media'!F113+'33-Fire Protection -other'!F113+'33-Fire Protection -other'!F16+'43- WWTF capital Project'!F16+'45- capital Projects fund'!F16+'-other SPECIAL REVENUE FUNDING'!F10+'-other SPECIAL REVENUE FUNDING'!F13</f>
        <v>6992190</v>
      </c>
      <c r="G156" s="3">
        <f>'01-gen gov'!G281+'02-assessing'!G123+'03-fire'!G378+'04-police'!G311+'05-comm'!G158+'06-code enforcement'!G153+'07-pub works'!G145+'08-highway'!G361+'09-solid waste'!G229+'13-parks &amp; rec'!G256+'15-library'!G256+'16-equip mntc'!G131+'17-bldg &amp; grounds'!G153+'21-comm dev'!G160+'24-tax coll'!G154+'25-welfare'!H95+'10-wastewater'!G345+'32-Media'!G113+'33-Fire Protection -other'!G113+'33-Fire Protection -other'!G16+'43- WWTF capital Project'!G16+'45- capital Projects fund'!G16+'-other SPECIAL REVENUE FUNDING'!G10+'-other SPECIAL REVENUE FUNDING'!G13</f>
        <v>7614146.6500000004</v>
      </c>
      <c r="H156" s="3">
        <f>'01-gen gov'!H281+'02-assessing'!H123+'03-fire'!H378+'04-police'!H311+'05-comm'!H158+'06-code enforcement'!H153+'07-pub works'!H145+'08-highway'!H361+'09-solid waste'!H229+'13-parks &amp; rec'!H256+'15-library'!H256+'16-equip mntc'!H131+'17-bldg &amp; grounds'!H153+'21-comm dev'!H160+'24-tax coll'!H154+'25-welfare'!I95+'10-wastewater'!H345+'32-Media'!H113+'33-Fire Protection -other'!H113+'33-Fire Protection -other'!H16+'43- WWTF capital Project'!H16+'45- capital Projects fund'!H16+'-other SPECIAL REVENUE FUNDING'!H10+'-other SPECIAL REVENUE FUNDING'!H13</f>
        <v>7544301.6500000004</v>
      </c>
      <c r="I156" s="3">
        <f>'01-gen gov'!I281+'02-assessing'!I123+'03-fire'!I378+'04-police'!I311+'05-comm'!I158+'06-code enforcement'!I153+'07-pub works'!I145+'08-highway'!I361+'09-solid waste'!I229+'13-parks &amp; rec'!I256+'15-library'!I256+'16-equip mntc'!I131+'17-bldg &amp; grounds'!I153+'21-comm dev'!I160+'24-tax coll'!I154+'25-welfare'!J95+'10-wastewater'!I345+'32-Media'!I113+'33-Fire Protection -other'!I113+'33-Fire Protection -other'!I16+'43- WWTF capital Project'!I16+'45- capital Projects fund'!I16+'-other SPECIAL REVENUE FUNDING'!I10+'-other SPECIAL REVENUE FUNDING'!I13</f>
        <v>7493527.6500000004</v>
      </c>
      <c r="J156" s="217">
        <f t="shared" ref="J156:J158" si="3">I156-F156</f>
        <v>501337.65000000037</v>
      </c>
    </row>
    <row r="157" spans="1:10" x14ac:dyDescent="0.2">
      <c r="A157" s="3" t="s">
        <v>1025</v>
      </c>
      <c r="B157" s="3"/>
      <c r="C157" s="3"/>
      <c r="D157" s="3"/>
      <c r="E157" s="3">
        <f>'01-gen gov'!E282+'02-assessing'!E124+'03-fire'!E379+'04-police'!E312+'05-comm'!E159+'06-code enforcement'!E154+'07-pub works'!E146+'08-highway'!E362+'09-solid waste'!E230+'13-parks &amp; rec'!E257+'15-library'!E257+'16-equip mntc'!E132+'17-bldg &amp; grounds'!E154+'21-comm dev'!E161+'24-tax coll'!E155+'25-welfare'!F96+'10-wastewater'!E346+'32-Media'!E114+'33-Fire Protection -other'!E114+'33-Fire Protection -other'!E17+'43- WWTF capital Project'!E17+'45- capital Projects fund'!E17+'-other SPECIAL REVENUE FUNDING'!E11+'-other SPECIAL REVENUE FUNDING'!E14</f>
        <v>12449711</v>
      </c>
      <c r="F157" s="3">
        <f>'01-gen gov'!F282+'02-assessing'!F124+'03-fire'!F379+'04-police'!F312+'05-comm'!F159+'06-code enforcement'!F154+'07-pub works'!F146+'08-highway'!F362+'09-solid waste'!F230+'13-parks &amp; rec'!F257+'15-library'!F257+'16-equip mntc'!F132+'17-bldg &amp; grounds'!F154+'21-comm dev'!F161+'24-tax coll'!F155+'25-welfare'!G96+'10-wastewater'!F346+'32-Media'!F114+'33-Fire Protection -other'!F114+'33-Fire Protection -other'!F17+'43- WWTF capital Project'!F17+'45- capital Projects fund'!F17+'-other SPECIAL REVENUE FUNDING'!F11+'-other SPECIAL REVENUE FUNDING'!F14</f>
        <v>14886003</v>
      </c>
      <c r="G157" s="3">
        <f>'01-gen gov'!G282+'02-assessing'!G124+'03-fire'!G379+'04-police'!G312+'05-comm'!G159+'06-code enforcement'!G154+'07-pub works'!G146+'08-highway'!G362+'09-solid waste'!G230+'13-parks &amp; rec'!G257+'15-library'!G257+'16-equip mntc'!G132+'17-bldg &amp; grounds'!G154+'21-comm dev'!G161+'24-tax coll'!G155+'25-welfare'!H96+'10-wastewater'!G346+'32-Media'!G114+'33-Fire Protection -other'!G114+'33-Fire Protection -other'!G17+'43- WWTF capital Project'!G17+'45- capital Projects fund'!G17+'-other SPECIAL REVENUE FUNDING'!G11+'-other SPECIAL REVENUE FUNDING'!G14</f>
        <v>7256413</v>
      </c>
      <c r="H157" s="3">
        <f>'01-gen gov'!H282+'02-assessing'!H124+'03-fire'!H379+'04-police'!H312+'05-comm'!H159+'06-code enforcement'!H154+'07-pub works'!H146+'08-highway'!H362+'09-solid waste'!H230+'13-parks &amp; rec'!H257+'15-library'!H257+'16-equip mntc'!H132+'17-bldg &amp; grounds'!H154+'21-comm dev'!H161+'24-tax coll'!H155+'25-welfare'!I96+'10-wastewater'!H346+'32-Media'!H114+'33-Fire Protection -other'!H114+'33-Fire Protection -other'!H17+'43- WWTF capital Project'!H17+'45- capital Projects fund'!H17+'-other SPECIAL REVENUE FUNDING'!H11+'-other SPECIAL REVENUE FUNDING'!H14</f>
        <v>6681413</v>
      </c>
      <c r="I157" s="3">
        <f>'01-gen gov'!I282+'02-assessing'!I124+'03-fire'!I379+'04-police'!I312+'05-comm'!I159+'06-code enforcement'!I154+'07-pub works'!I146+'08-highway'!I362+'09-solid waste'!I230+'13-parks &amp; rec'!I257+'15-library'!I257+'16-equip mntc'!I132+'17-bldg &amp; grounds'!I154+'21-comm dev'!I161+'24-tax coll'!I155+'25-welfare'!J96+'10-wastewater'!I346+'32-Media'!I114+'33-Fire Protection -other'!I114+'33-Fire Protection -other'!I17+'43- WWTF capital Project'!I17+'45- capital Projects fund'!I17+'-other SPECIAL REVENUE FUNDING'!I11+'-other SPECIAL REVENUE FUNDING'!I14</f>
        <v>6620913</v>
      </c>
      <c r="J157" s="217">
        <f t="shared" si="3"/>
        <v>-8265090</v>
      </c>
    </row>
    <row r="158" spans="1:10" ht="15" x14ac:dyDescent="0.35">
      <c r="A158" s="3" t="s">
        <v>1215</v>
      </c>
      <c r="B158" s="3"/>
      <c r="C158" s="3"/>
      <c r="D158" s="3"/>
      <c r="E158" s="14">
        <f>'27-debt svc'!B23+'27-debt svc'!B61</f>
        <v>1128617</v>
      </c>
      <c r="F158" s="14">
        <f>'27-debt svc'!C23+'27-debt svc'!C61</f>
        <v>855787</v>
      </c>
      <c r="G158" s="14">
        <f>'27-debt svc'!D23+'27-debt svc'!D61</f>
        <v>682247</v>
      </c>
      <c r="H158" s="14">
        <f>'27-debt svc'!E23+'27-debt svc'!E61</f>
        <v>682247</v>
      </c>
      <c r="I158" s="14">
        <f>'27-debt svc'!F23+'27-debt svc'!F61</f>
        <v>682247</v>
      </c>
      <c r="J158" s="217">
        <f t="shared" si="3"/>
        <v>-173540</v>
      </c>
    </row>
    <row r="159" spans="1:10" x14ac:dyDescent="0.2">
      <c r="A159" s="3" t="s">
        <v>1320</v>
      </c>
      <c r="B159" s="3"/>
      <c r="C159" s="3"/>
      <c r="D159" s="3"/>
      <c r="E159" s="3">
        <f>SUM(E155:E158)</f>
        <v>44234592</v>
      </c>
      <c r="F159" s="3">
        <f t="shared" ref="F159:I159" si="4">SUM(F155:F158)</f>
        <v>48818599</v>
      </c>
      <c r="G159" s="3">
        <f t="shared" si="4"/>
        <v>41840655.54728023</v>
      </c>
      <c r="H159" s="3">
        <f t="shared" si="4"/>
        <v>41229280.649999999</v>
      </c>
      <c r="I159" s="3">
        <f t="shared" si="4"/>
        <v>41288813.649999999</v>
      </c>
    </row>
  </sheetData>
  <printOptions gridLines="1"/>
  <pageMargins left="0.2" right="0.2" top="0.5" bottom="0.25" header="0.3" footer="0.3"/>
  <pageSetup scale="70" fitToHeight="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opLeftCell="A412" workbookViewId="0">
      <selection activeCell="L417" sqref="L417"/>
    </sheetView>
  </sheetViews>
  <sheetFormatPr defaultRowHeight="12.75" x14ac:dyDescent="0.2"/>
  <sheetData>
    <row r="1" spans="1:5" x14ac:dyDescent="0.2">
      <c r="A1" s="556"/>
      <c r="B1" s="556"/>
      <c r="C1" s="556"/>
      <c r="D1" s="556"/>
      <c r="E1" s="55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87"/>
  <sheetViews>
    <sheetView tabSelected="1" zoomScaleNormal="100" zoomScaleSheetLayoutView="100" workbookViewId="0">
      <pane xSplit="2" ySplit="4" topLeftCell="F35" activePane="bottomRight" state="frozen"/>
      <selection pane="topRight" activeCell="C1" sqref="C1"/>
      <selection pane="bottomLeft" activeCell="A5" sqref="A5"/>
      <selection pane="bottomRight" activeCell="F63" sqref="F63"/>
    </sheetView>
  </sheetViews>
  <sheetFormatPr defaultColWidth="8.85546875" defaultRowHeight="12.75" x14ac:dyDescent="0.2"/>
  <cols>
    <col min="1" max="1" width="15.85546875" style="10" bestFit="1" customWidth="1"/>
    <col min="2" max="2" width="35.42578125" style="10" customWidth="1"/>
    <col min="3" max="3" width="12.7109375" style="10" customWidth="1"/>
    <col min="4" max="4" width="12.7109375" style="10" bestFit="1" customWidth="1"/>
    <col min="5" max="5" width="12.7109375" style="3" bestFit="1" customWidth="1"/>
    <col min="6" max="6" width="13.5703125" style="3" bestFit="1" customWidth="1"/>
    <col min="7" max="7" width="11.85546875" style="3" bestFit="1" customWidth="1"/>
    <col min="8" max="9" width="11.85546875" style="10" bestFit="1" customWidth="1"/>
    <col min="10" max="10" width="12.7109375" style="10" customWidth="1"/>
    <col min="11" max="11" width="8.85546875" style="10"/>
    <col min="12" max="12" width="11.140625" style="10" bestFit="1" customWidth="1"/>
    <col min="13" max="16384" width="8.85546875" style="10"/>
  </cols>
  <sheetData>
    <row r="1" spans="1:14" x14ac:dyDescent="0.2">
      <c r="A1" s="562" t="s">
        <v>2506</v>
      </c>
      <c r="B1" s="563"/>
      <c r="C1" s="563"/>
      <c r="D1" s="563"/>
      <c r="E1" s="563"/>
      <c r="F1" s="563"/>
      <c r="G1" s="563"/>
      <c r="H1" s="563"/>
      <c r="I1" s="563"/>
      <c r="J1" s="563"/>
    </row>
    <row r="2" spans="1:14" x14ac:dyDescent="0.2">
      <c r="C2" s="24"/>
      <c r="D2" s="24"/>
      <c r="E2" s="19"/>
      <c r="F2" s="19"/>
      <c r="G2" s="19"/>
      <c r="H2" s="24"/>
    </row>
    <row r="3" spans="1:14" ht="15" x14ac:dyDescent="0.35">
      <c r="C3" s="19" t="s">
        <v>250</v>
      </c>
      <c r="D3" s="19" t="s">
        <v>251</v>
      </c>
      <c r="E3" s="19" t="s">
        <v>68</v>
      </c>
      <c r="F3" s="19" t="s">
        <v>432</v>
      </c>
      <c r="G3" s="19" t="s">
        <v>338</v>
      </c>
      <c r="H3" s="19" t="s">
        <v>370</v>
      </c>
      <c r="I3" s="564" t="s">
        <v>2644</v>
      </c>
      <c r="J3" s="564"/>
    </row>
    <row r="4" spans="1:14" ht="15" x14ac:dyDescent="0.35">
      <c r="A4" s="42" t="s">
        <v>999</v>
      </c>
      <c r="B4" s="9" t="s">
        <v>418</v>
      </c>
      <c r="C4" s="285" t="s">
        <v>2163</v>
      </c>
      <c r="D4" s="363" t="s">
        <v>2290</v>
      </c>
      <c r="E4" s="212" t="s">
        <v>2507</v>
      </c>
      <c r="F4" s="419" t="s">
        <v>2507</v>
      </c>
      <c r="G4" s="419" t="s">
        <v>2507</v>
      </c>
      <c r="H4" s="419" t="s">
        <v>2507</v>
      </c>
      <c r="I4" s="212" t="s">
        <v>705</v>
      </c>
      <c r="J4" s="213" t="s">
        <v>706</v>
      </c>
    </row>
    <row r="5" spans="1:14" x14ac:dyDescent="0.2">
      <c r="A5" s="38" t="s">
        <v>707</v>
      </c>
      <c r="B5" s="10" t="s">
        <v>708</v>
      </c>
      <c r="C5" s="3">
        <f>+'01-gen gov'!E283</f>
        <v>2244226</v>
      </c>
      <c r="D5" s="3">
        <f>+'01-gen gov'!F278-'01-gen gov'!F266+'01-gen gov'!D271</f>
        <v>2169461</v>
      </c>
      <c r="E5" s="3">
        <f>+'01-gen gov'!G278-'01-gen gov'!G266+'01-gen gov'!E271</f>
        <v>2224206</v>
      </c>
      <c r="F5" s="3">
        <f>+'01-gen gov'!H278-'01-gen gov'!H266+'01-gen gov'!F271+300</f>
        <v>2222006</v>
      </c>
      <c r="G5" s="3">
        <f>+'01-gen gov'!I278-'01-gen gov'!I266+'01-gen gov'!G271+300</f>
        <v>2203294</v>
      </c>
      <c r="H5" s="3">
        <f>+'01-gen gov'!J278</f>
        <v>0</v>
      </c>
      <c r="I5" s="3">
        <f>+G5-D5</f>
        <v>33833</v>
      </c>
      <c r="J5" s="15">
        <f t="shared" ref="J5:J20" si="0">ROUND((I5/D5)*100,2)</f>
        <v>1.56</v>
      </c>
      <c r="L5" s="3">
        <f t="shared" ref="L5:L21" si="1">G5-F5</f>
        <v>-18712</v>
      </c>
      <c r="M5" s="3">
        <v>-18712</v>
      </c>
      <c r="N5" s="3">
        <f>L5-M5</f>
        <v>0</v>
      </c>
    </row>
    <row r="6" spans="1:14" x14ac:dyDescent="0.2">
      <c r="A6" s="117" t="s">
        <v>709</v>
      </c>
      <c r="B6" s="118" t="s">
        <v>489</v>
      </c>
      <c r="C6" s="119">
        <f>+'02-assessing'!E120</f>
        <v>356619</v>
      </c>
      <c r="D6" s="119">
        <f>+'02-assessing'!F120-'02-assessing'!F118</f>
        <v>343919</v>
      </c>
      <c r="E6" s="119">
        <f>+'02-assessing'!G120-'02-assessing'!G118</f>
        <v>362798</v>
      </c>
      <c r="F6" s="119">
        <f>+'02-assessing'!H120-'02-assessing'!H118</f>
        <v>362798</v>
      </c>
      <c r="G6" s="119">
        <f>+'02-assessing'!I120-'02-assessing'!I118</f>
        <v>370658</v>
      </c>
      <c r="H6" s="119">
        <f>+'02-assessing'!J120</f>
        <v>0</v>
      </c>
      <c r="I6" s="119">
        <f t="shared" ref="I5:I21" si="2">+G6-D6</f>
        <v>26739</v>
      </c>
      <c r="J6" s="120">
        <f t="shared" si="0"/>
        <v>7.77</v>
      </c>
      <c r="L6" s="3">
        <f t="shared" si="1"/>
        <v>7860</v>
      </c>
      <c r="M6" s="3">
        <v>7860</v>
      </c>
      <c r="N6" s="3">
        <f t="shared" ref="N6:N21" si="3">L6-M6</f>
        <v>0</v>
      </c>
    </row>
    <row r="7" spans="1:14" x14ac:dyDescent="0.2">
      <c r="A7" s="38" t="s">
        <v>490</v>
      </c>
      <c r="B7" s="10" t="s">
        <v>491</v>
      </c>
      <c r="C7" s="3">
        <f>+'03-fire'!E380</f>
        <v>7685062</v>
      </c>
      <c r="D7" s="3">
        <f>+'03-fire'!F380-'03-fire'!F372</f>
        <v>7761553</v>
      </c>
      <c r="E7" s="3">
        <f>+'03-fire'!G380-'03-fire'!G372</f>
        <v>7760461</v>
      </c>
      <c r="F7" s="3">
        <f>+'03-fire'!H380-'03-fire'!H372</f>
        <v>7747797</v>
      </c>
      <c r="G7" s="3">
        <f>+'03-fire'!I380-'03-fire'!I372</f>
        <v>7766351</v>
      </c>
      <c r="H7" s="3">
        <f>+'03-fire'!J380</f>
        <v>0</v>
      </c>
      <c r="I7" s="3">
        <f t="shared" si="2"/>
        <v>4798</v>
      </c>
      <c r="J7" s="15">
        <f t="shared" si="0"/>
        <v>0.06</v>
      </c>
      <c r="L7" s="3">
        <f t="shared" si="1"/>
        <v>18554</v>
      </c>
      <c r="M7" s="3">
        <v>18554</v>
      </c>
      <c r="N7" s="3">
        <f t="shared" si="3"/>
        <v>0</v>
      </c>
    </row>
    <row r="8" spans="1:14" x14ac:dyDescent="0.2">
      <c r="A8" s="117" t="s">
        <v>492</v>
      </c>
      <c r="B8" s="118" t="s">
        <v>493</v>
      </c>
      <c r="C8" s="119">
        <f>+'04-police'!E313</f>
        <v>6877696</v>
      </c>
      <c r="D8" s="119">
        <f>+'04-police'!F313</f>
        <v>7261645</v>
      </c>
      <c r="E8" s="119">
        <f>+'04-police'!G313</f>
        <v>7504169</v>
      </c>
      <c r="F8" s="119">
        <f>+'04-police'!H313</f>
        <v>7454169</v>
      </c>
      <c r="G8" s="119">
        <f>+'04-police'!I313</f>
        <v>7474282</v>
      </c>
      <c r="H8" s="119">
        <f>+'04-police'!J313</f>
        <v>0</v>
      </c>
      <c r="I8" s="119">
        <f t="shared" si="2"/>
        <v>212637</v>
      </c>
      <c r="J8" s="120">
        <f t="shared" si="0"/>
        <v>2.93</v>
      </c>
      <c r="L8" s="3">
        <f t="shared" si="1"/>
        <v>20113</v>
      </c>
      <c r="M8" s="3">
        <v>20113</v>
      </c>
      <c r="N8" s="3">
        <f t="shared" si="3"/>
        <v>0</v>
      </c>
    </row>
    <row r="9" spans="1:14" x14ac:dyDescent="0.2">
      <c r="A9" s="38" t="s">
        <v>1481</v>
      </c>
      <c r="B9" s="10" t="s">
        <v>1482</v>
      </c>
      <c r="C9" s="3">
        <f>+'05-comm'!E160</f>
        <v>1473154</v>
      </c>
      <c r="D9" s="3">
        <f>+'05-comm'!F160-'05-comm'!F153</f>
        <v>1747778</v>
      </c>
      <c r="E9" s="3">
        <f>+'05-comm'!G160-'05-comm'!G153</f>
        <v>1088885</v>
      </c>
      <c r="F9" s="3">
        <f>+'05-comm'!H160-'05-comm'!H153</f>
        <v>1087872</v>
      </c>
      <c r="G9" s="3">
        <f>+'05-comm'!I160-'05-comm'!I153</f>
        <v>1087872</v>
      </c>
      <c r="H9" s="3">
        <f>+'05-comm'!J160</f>
        <v>0</v>
      </c>
      <c r="I9" s="3">
        <f t="shared" si="2"/>
        <v>-659906</v>
      </c>
      <c r="J9" s="15">
        <f t="shared" si="0"/>
        <v>-37.76</v>
      </c>
      <c r="L9" s="3">
        <f t="shared" si="1"/>
        <v>0</v>
      </c>
      <c r="M9" s="3">
        <v>0</v>
      </c>
      <c r="N9" s="3">
        <f t="shared" si="3"/>
        <v>0</v>
      </c>
    </row>
    <row r="10" spans="1:14" x14ac:dyDescent="0.2">
      <c r="A10" s="117" t="s">
        <v>1008</v>
      </c>
      <c r="B10" s="118" t="s">
        <v>464</v>
      </c>
      <c r="C10" s="119">
        <f>+'06-code enforcement'!E150</f>
        <v>492756</v>
      </c>
      <c r="D10" s="119">
        <f>+'06-code enforcement'!F150</f>
        <v>494300</v>
      </c>
      <c r="E10" s="119">
        <f>+'06-code enforcement'!G150</f>
        <v>552342</v>
      </c>
      <c r="F10" s="119">
        <f>+'06-code enforcement'!H150</f>
        <v>552342</v>
      </c>
      <c r="G10" s="119">
        <f>+'06-code enforcement'!I150</f>
        <v>509792</v>
      </c>
      <c r="H10" s="119">
        <f>+'06-code enforcement'!J150</f>
        <v>0</v>
      </c>
      <c r="I10" s="119">
        <f t="shared" si="2"/>
        <v>15492</v>
      </c>
      <c r="J10" s="120">
        <f t="shared" si="0"/>
        <v>3.13</v>
      </c>
      <c r="L10" s="3">
        <f t="shared" si="1"/>
        <v>-42550</v>
      </c>
      <c r="M10" s="3">
        <v>-42550</v>
      </c>
      <c r="N10" s="3">
        <f t="shared" si="3"/>
        <v>0</v>
      </c>
    </row>
    <row r="11" spans="1:14" x14ac:dyDescent="0.2">
      <c r="A11" s="38" t="s">
        <v>1483</v>
      </c>
      <c r="B11" s="10" t="s">
        <v>1484</v>
      </c>
      <c r="C11" s="3">
        <f>+'07-pub works'!E142</f>
        <v>552626</v>
      </c>
      <c r="D11" s="3">
        <f>+'07-pub works'!F142</f>
        <v>555913</v>
      </c>
      <c r="E11" s="3">
        <f>+'07-pub works'!G142</f>
        <v>577712</v>
      </c>
      <c r="F11" s="3">
        <f>+'07-pub works'!H142</f>
        <v>623818</v>
      </c>
      <c r="G11" s="3">
        <f>+'07-pub works'!I142</f>
        <v>640310</v>
      </c>
      <c r="H11" s="3">
        <f>+'07-pub works'!J142</f>
        <v>0</v>
      </c>
      <c r="I11" s="3">
        <f t="shared" si="2"/>
        <v>84397</v>
      </c>
      <c r="J11" s="15">
        <f t="shared" si="0"/>
        <v>15.18</v>
      </c>
      <c r="L11" s="3">
        <f t="shared" si="1"/>
        <v>16492</v>
      </c>
      <c r="M11" s="3">
        <v>16492</v>
      </c>
      <c r="N11" s="3">
        <f t="shared" si="3"/>
        <v>0</v>
      </c>
    </row>
    <row r="12" spans="1:14" x14ac:dyDescent="0.2">
      <c r="A12" s="117" t="s">
        <v>1485</v>
      </c>
      <c r="B12" s="118" t="s">
        <v>891</v>
      </c>
      <c r="C12" s="119">
        <f>+'08-highway'!E358</f>
        <v>5422514</v>
      </c>
      <c r="D12" s="119">
        <f>+'08-highway'!F358-'08-highway'!F356</f>
        <v>4241030</v>
      </c>
      <c r="E12" s="119">
        <f>+'08-highway'!G358-'08-highway'!G356</f>
        <v>6827377</v>
      </c>
      <c r="F12" s="119">
        <f>+'08-highway'!H358-'08-highway'!H356</f>
        <v>6565215</v>
      </c>
      <c r="G12" s="119">
        <f>+'08-highway'!I358-'08-highway'!I356</f>
        <v>6569437</v>
      </c>
      <c r="H12" s="119">
        <f>+'08-highway'!J358</f>
        <v>0</v>
      </c>
      <c r="I12" s="119">
        <f t="shared" si="2"/>
        <v>2328407</v>
      </c>
      <c r="J12" s="120">
        <f t="shared" si="0"/>
        <v>54.9</v>
      </c>
      <c r="L12" s="3">
        <f t="shared" si="1"/>
        <v>4222</v>
      </c>
      <c r="M12" s="3">
        <v>4222</v>
      </c>
      <c r="N12" s="3">
        <f t="shared" si="3"/>
        <v>0</v>
      </c>
    </row>
    <row r="13" spans="1:14" x14ac:dyDescent="0.2">
      <c r="A13" s="38" t="s">
        <v>892</v>
      </c>
      <c r="B13" s="10" t="s">
        <v>1042</v>
      </c>
      <c r="C13" s="3">
        <f>+'09-solid waste'!E225</f>
        <v>1815093</v>
      </c>
      <c r="D13" s="3">
        <f>+'09-solid waste'!F225-'09-solid waste'!F223</f>
        <v>1749661</v>
      </c>
      <c r="E13" s="3">
        <f>+'09-solid waste'!G225-'09-solid waste'!G223</f>
        <v>1977784</v>
      </c>
      <c r="F13" s="3">
        <f>+'09-solid waste'!H225-'09-solid waste'!H223</f>
        <v>1957784</v>
      </c>
      <c r="G13" s="3">
        <f>+'09-solid waste'!I225-'09-solid waste'!I223</f>
        <v>1957784</v>
      </c>
      <c r="H13" s="3">
        <f>+'09-solid waste'!J225</f>
        <v>0</v>
      </c>
      <c r="I13" s="3">
        <f t="shared" si="2"/>
        <v>208123</v>
      </c>
      <c r="J13" s="15">
        <f t="shared" si="0"/>
        <v>11.9</v>
      </c>
      <c r="L13" s="3">
        <f t="shared" si="1"/>
        <v>0</v>
      </c>
      <c r="M13" s="3">
        <v>0</v>
      </c>
      <c r="N13" s="3">
        <f t="shared" si="3"/>
        <v>0</v>
      </c>
    </row>
    <row r="14" spans="1:14" x14ac:dyDescent="0.2">
      <c r="A14" s="117" t="s">
        <v>130</v>
      </c>
      <c r="B14" s="118" t="s">
        <v>1167</v>
      </c>
      <c r="C14" s="119">
        <f>+'13-parks &amp; rec'!E253</f>
        <v>712853</v>
      </c>
      <c r="D14" s="119">
        <f>+'13-parks &amp; rec'!F253-'13-parks &amp; rec'!F250</f>
        <v>557788</v>
      </c>
      <c r="E14" s="119">
        <f>+'13-parks &amp; rec'!G253-'13-parks &amp; rec'!G250</f>
        <v>749630</v>
      </c>
      <c r="F14" s="119">
        <f>+'13-parks &amp; rec'!H253-'13-parks &amp; rec'!H250</f>
        <v>523265</v>
      </c>
      <c r="G14" s="119">
        <f>+'13-parks &amp; rec'!I253-'13-parks &amp; rec'!I250</f>
        <v>529484</v>
      </c>
      <c r="H14" s="119">
        <f>+'13-parks &amp; rec'!J253</f>
        <v>0</v>
      </c>
      <c r="I14" s="119">
        <f t="shared" si="2"/>
        <v>-28304</v>
      </c>
      <c r="J14" s="120">
        <f t="shared" si="0"/>
        <v>-5.07</v>
      </c>
      <c r="L14" s="3">
        <f t="shared" si="1"/>
        <v>6219</v>
      </c>
      <c r="M14" s="3">
        <v>6219</v>
      </c>
      <c r="N14" s="3">
        <f t="shared" si="3"/>
        <v>0</v>
      </c>
    </row>
    <row r="15" spans="1:14" x14ac:dyDescent="0.2">
      <c r="A15" s="38" t="s">
        <v>1168</v>
      </c>
      <c r="B15" s="10" t="s">
        <v>1169</v>
      </c>
      <c r="C15" s="3">
        <f>+'15-library'!E248-C27</f>
        <v>1148030</v>
      </c>
      <c r="D15" s="3">
        <f>+'15-library'!F248-D27-'15-library'!F243</f>
        <v>1135728</v>
      </c>
      <c r="E15" s="3">
        <f>+'15-library'!G248-E27-'15-library'!G243</f>
        <v>1172210.897280232</v>
      </c>
      <c r="F15" s="3">
        <f>+'15-library'!H248-F27-'15-library'!H243</f>
        <v>1172212</v>
      </c>
      <c r="G15" s="3">
        <f>+'15-library'!I248-G27-'15-library'!I243</f>
        <v>1172212</v>
      </c>
      <c r="H15" s="3">
        <f>+'15-library'!J248-H27</f>
        <v>0</v>
      </c>
      <c r="I15" s="3">
        <f t="shared" si="2"/>
        <v>36484</v>
      </c>
      <c r="J15" s="15">
        <f t="shared" si="0"/>
        <v>3.21</v>
      </c>
      <c r="L15" s="3">
        <f t="shared" si="1"/>
        <v>0</v>
      </c>
      <c r="M15" s="3">
        <v>0</v>
      </c>
      <c r="N15" s="3">
        <f t="shared" si="3"/>
        <v>0</v>
      </c>
    </row>
    <row r="16" spans="1:14" x14ac:dyDescent="0.2">
      <c r="A16" s="117" t="s">
        <v>328</v>
      </c>
      <c r="B16" s="118" t="s">
        <v>329</v>
      </c>
      <c r="C16" s="119">
        <f>+'16-equip mntc'!E127</f>
        <v>481493</v>
      </c>
      <c r="D16" s="119">
        <f>+'16-equip mntc'!F127</f>
        <v>499132</v>
      </c>
      <c r="E16" s="119">
        <f>+'16-equip mntc'!G127</f>
        <v>516134</v>
      </c>
      <c r="F16" s="119">
        <f>+'16-equip mntc'!H127</f>
        <v>502134</v>
      </c>
      <c r="G16" s="119">
        <f>+'16-equip mntc'!I127</f>
        <v>502134</v>
      </c>
      <c r="H16" s="119">
        <f>+'16-equip mntc'!J127</f>
        <v>0</v>
      </c>
      <c r="I16" s="119">
        <f t="shared" si="2"/>
        <v>3002</v>
      </c>
      <c r="J16" s="120">
        <f t="shared" si="0"/>
        <v>0.6</v>
      </c>
      <c r="L16" s="3">
        <f t="shared" si="1"/>
        <v>0</v>
      </c>
      <c r="M16" s="3">
        <v>0</v>
      </c>
      <c r="N16" s="3">
        <f t="shared" si="3"/>
        <v>0</v>
      </c>
    </row>
    <row r="17" spans="1:14" x14ac:dyDescent="0.2">
      <c r="A17" s="38" t="s">
        <v>330</v>
      </c>
      <c r="B17" s="10" t="s">
        <v>331</v>
      </c>
      <c r="C17" s="3">
        <f>+'17-bldg &amp; grounds'!E150</f>
        <v>299238</v>
      </c>
      <c r="D17" s="3">
        <f>+'17-bldg &amp; grounds'!F150</f>
        <v>345141</v>
      </c>
      <c r="E17" s="3">
        <f>+'17-bldg &amp; grounds'!G150</f>
        <v>671123</v>
      </c>
      <c r="F17" s="3">
        <f>+'17-bldg &amp; grounds'!H150</f>
        <v>596123</v>
      </c>
      <c r="G17" s="3">
        <f>+'17-bldg &amp; grounds'!I150</f>
        <v>601477</v>
      </c>
      <c r="H17" s="3">
        <f>+'17-bldg &amp; grounds'!J150</f>
        <v>0</v>
      </c>
      <c r="I17" s="3">
        <f t="shared" si="2"/>
        <v>256336</v>
      </c>
      <c r="J17" s="15">
        <f t="shared" si="0"/>
        <v>74.27</v>
      </c>
      <c r="L17" s="3">
        <f t="shared" si="1"/>
        <v>5354</v>
      </c>
      <c r="M17" s="3">
        <v>5354</v>
      </c>
      <c r="N17" s="3">
        <f t="shared" si="3"/>
        <v>0</v>
      </c>
    </row>
    <row r="18" spans="1:14" x14ac:dyDescent="0.2">
      <c r="A18" s="117" t="s">
        <v>332</v>
      </c>
      <c r="B18" s="118" t="s">
        <v>333</v>
      </c>
      <c r="C18" s="119">
        <f>+'21-comm dev'!E156</f>
        <v>517416</v>
      </c>
      <c r="D18" s="119">
        <f>+'21-comm dev'!F156-'21-comm dev'!F153</f>
        <v>531593</v>
      </c>
      <c r="E18" s="119">
        <f>+'21-comm dev'!G156-'21-comm dev'!G153</f>
        <v>527863</v>
      </c>
      <c r="F18" s="119">
        <f>+'21-comm dev'!H156-'21-comm dev'!H153</f>
        <v>527863</v>
      </c>
      <c r="G18" s="119">
        <f>+'21-comm dev'!I156-'21-comm dev'!I153</f>
        <v>541053</v>
      </c>
      <c r="H18" s="119">
        <f>+'21-comm dev'!J156</f>
        <v>0</v>
      </c>
      <c r="I18" s="119">
        <f t="shared" si="2"/>
        <v>9460</v>
      </c>
      <c r="J18" s="120">
        <f t="shared" si="0"/>
        <v>1.78</v>
      </c>
      <c r="L18" s="3">
        <f t="shared" si="1"/>
        <v>13190</v>
      </c>
      <c r="M18" s="3">
        <v>13190</v>
      </c>
      <c r="N18" s="3">
        <f t="shared" si="3"/>
        <v>0</v>
      </c>
    </row>
    <row r="19" spans="1:14" x14ac:dyDescent="0.2">
      <c r="A19" s="38" t="s">
        <v>334</v>
      </c>
      <c r="B19" s="10" t="s">
        <v>1121</v>
      </c>
      <c r="C19" s="3">
        <f>+'24-tax coll'!E151</f>
        <v>565281</v>
      </c>
      <c r="D19" s="3">
        <f>+'24-tax coll'!F151</f>
        <v>648816</v>
      </c>
      <c r="E19" s="3">
        <f>+'24-tax coll'!G151</f>
        <v>584701</v>
      </c>
      <c r="F19" s="3">
        <f>+'24-tax coll'!H151</f>
        <v>597923</v>
      </c>
      <c r="G19" s="3">
        <f>+'24-tax coll'!I151</f>
        <v>611033</v>
      </c>
      <c r="H19" s="3">
        <f>+'24-tax coll'!J151</f>
        <v>0</v>
      </c>
      <c r="I19" s="3">
        <f t="shared" si="2"/>
        <v>-37783</v>
      </c>
      <c r="J19" s="15">
        <f t="shared" si="0"/>
        <v>-5.82</v>
      </c>
      <c r="L19" s="3">
        <f t="shared" si="1"/>
        <v>13110</v>
      </c>
      <c r="M19" s="3">
        <v>13110</v>
      </c>
      <c r="N19" s="3">
        <f t="shared" si="3"/>
        <v>0</v>
      </c>
    </row>
    <row r="20" spans="1:14" x14ac:dyDescent="0.2">
      <c r="A20" s="117" t="s">
        <v>335</v>
      </c>
      <c r="B20" s="118" t="s">
        <v>336</v>
      </c>
      <c r="C20" s="119">
        <f>+'25-welfare'!F92</f>
        <v>145145</v>
      </c>
      <c r="D20" s="119">
        <f>+'25-welfare'!G92</f>
        <v>169340</v>
      </c>
      <c r="E20" s="119">
        <f>+'25-welfare'!H92</f>
        <v>175588</v>
      </c>
      <c r="F20" s="119">
        <f>+'25-welfare'!I92</f>
        <v>175588</v>
      </c>
      <c r="G20" s="119">
        <f>+'25-welfare'!J92</f>
        <v>177156</v>
      </c>
      <c r="H20" s="119">
        <f>+'25-welfare'!K92</f>
        <v>0</v>
      </c>
      <c r="I20" s="119">
        <f t="shared" si="2"/>
        <v>7816</v>
      </c>
      <c r="J20" s="120">
        <f t="shared" si="0"/>
        <v>4.62</v>
      </c>
      <c r="L20" s="3">
        <f t="shared" si="1"/>
        <v>1568</v>
      </c>
      <c r="M20" s="3">
        <v>1568</v>
      </c>
      <c r="N20" s="3">
        <f t="shared" si="3"/>
        <v>0</v>
      </c>
    </row>
    <row r="21" spans="1:14" ht="15" x14ac:dyDescent="0.35">
      <c r="A21" s="38" t="s">
        <v>337</v>
      </c>
      <c r="B21" s="10" t="s">
        <v>1215</v>
      </c>
      <c r="C21" s="14">
        <f>+'27-debt svc'!B23</f>
        <v>408661</v>
      </c>
      <c r="D21" s="14">
        <f>+'27-debt svc'!C23</f>
        <v>410732</v>
      </c>
      <c r="E21" s="14">
        <f>+'27-debt svc'!D23</f>
        <v>244146</v>
      </c>
      <c r="F21" s="14">
        <f>+'27-debt svc'!E23</f>
        <v>244146</v>
      </c>
      <c r="G21" s="14">
        <f>+'27-debt svc'!F23</f>
        <v>244146</v>
      </c>
      <c r="H21" s="14">
        <f>+'27-debt svc'!G23</f>
        <v>0</v>
      </c>
      <c r="I21" s="14">
        <f t="shared" si="2"/>
        <v>-166586</v>
      </c>
      <c r="J21" s="46">
        <f>ROUND((I21/D21)*100,2)</f>
        <v>-40.56</v>
      </c>
      <c r="L21" s="3">
        <f t="shared" si="1"/>
        <v>0</v>
      </c>
      <c r="M21" s="3">
        <v>0</v>
      </c>
      <c r="N21" s="3">
        <f t="shared" si="3"/>
        <v>0</v>
      </c>
    </row>
    <row r="22" spans="1:14" x14ac:dyDescent="0.2">
      <c r="B22" s="10" t="s">
        <v>514</v>
      </c>
      <c r="C22" s="3">
        <f t="shared" ref="C22:I22" si="4">SUM(C5:C21)</f>
        <v>31197863</v>
      </c>
      <c r="D22" s="3">
        <f t="shared" si="4"/>
        <v>30623530</v>
      </c>
      <c r="E22" s="3">
        <f t="shared" si="4"/>
        <v>33517129.897280231</v>
      </c>
      <c r="F22" s="3">
        <f t="shared" si="4"/>
        <v>32913055</v>
      </c>
      <c r="G22" s="3">
        <f t="shared" si="4"/>
        <v>32958475</v>
      </c>
      <c r="H22" s="3">
        <f t="shared" si="4"/>
        <v>0</v>
      </c>
      <c r="I22" s="3">
        <f t="shared" si="4"/>
        <v>2334945</v>
      </c>
      <c r="J22" s="86">
        <f>+I22/D22</f>
        <v>7.624676188538683E-2</v>
      </c>
      <c r="M22" s="3"/>
    </row>
    <row r="23" spans="1:14" x14ac:dyDescent="0.2">
      <c r="C23" s="3"/>
      <c r="D23" s="3"/>
      <c r="H23" s="3"/>
    </row>
    <row r="24" spans="1:14" x14ac:dyDescent="0.2">
      <c r="C24" s="290"/>
    </row>
    <row r="25" spans="1:14" x14ac:dyDescent="0.2">
      <c r="A25" s="121" t="s">
        <v>618</v>
      </c>
      <c r="B25" s="118" t="s">
        <v>587</v>
      </c>
      <c r="C25" s="119">
        <f>'-other SPECIAL REVENUE FUNDING'!E9</f>
        <v>0</v>
      </c>
      <c r="D25" s="119">
        <f>+'-other SPECIAL REVENUE FUNDING'!F9</f>
        <v>12795</v>
      </c>
      <c r="E25" s="119">
        <f>+'-other SPECIAL REVENUE FUNDING'!G9</f>
        <v>12795</v>
      </c>
      <c r="F25" s="119">
        <f>+'-other SPECIAL REVENUE FUNDING'!H9</f>
        <v>12795</v>
      </c>
      <c r="G25" s="119">
        <f>+'-other SPECIAL REVENUE FUNDING'!I9</f>
        <v>12795</v>
      </c>
      <c r="H25" s="119">
        <f>+'-other SPECIAL REVENUE FUNDING'!J9</f>
        <v>0</v>
      </c>
      <c r="I25" s="119">
        <f>+G25-D25</f>
        <v>0</v>
      </c>
      <c r="J25" s="120">
        <f t="shared" ref="J25:J29" si="5">ROUND((I25/D25)*100,2)</f>
        <v>0</v>
      </c>
    </row>
    <row r="26" spans="1:14" x14ac:dyDescent="0.2">
      <c r="A26" s="32" t="s">
        <v>617</v>
      </c>
      <c r="B26" s="10" t="s">
        <v>586</v>
      </c>
      <c r="C26" s="3">
        <f>'-other SPECIAL REVENUE FUNDING'!E12</f>
        <v>433307</v>
      </c>
      <c r="D26" s="3">
        <f>+'-other SPECIAL REVENUE FUNDING'!F12</f>
        <v>487004</v>
      </c>
      <c r="E26" s="3">
        <f>+'-other SPECIAL REVENUE FUNDING'!G12</f>
        <v>486279</v>
      </c>
      <c r="F26" s="3">
        <f>+'-other SPECIAL REVENUE FUNDING'!H12</f>
        <v>486279</v>
      </c>
      <c r="G26" s="3">
        <f>+'-other SPECIAL REVENUE FUNDING'!I12</f>
        <v>486279</v>
      </c>
      <c r="H26" s="3">
        <f>+'-other SPECIAL REVENUE FUNDING'!J12</f>
        <v>0</v>
      </c>
      <c r="I26" s="3">
        <f>+G26-D26</f>
        <v>-725</v>
      </c>
      <c r="J26" s="15">
        <f t="shared" si="5"/>
        <v>-0.15</v>
      </c>
    </row>
    <row r="27" spans="1:14" x14ac:dyDescent="0.2">
      <c r="A27" s="121" t="s">
        <v>619</v>
      </c>
      <c r="B27" s="118" t="s">
        <v>620</v>
      </c>
      <c r="C27" s="119">
        <v>12000</v>
      </c>
      <c r="D27" s="119">
        <v>12000</v>
      </c>
      <c r="E27" s="119">
        <v>12000</v>
      </c>
      <c r="F27" s="119">
        <v>12000</v>
      </c>
      <c r="G27" s="119">
        <v>12000</v>
      </c>
      <c r="H27" s="119">
        <v>0</v>
      </c>
      <c r="I27" s="119">
        <f>+G27-D27</f>
        <v>0</v>
      </c>
      <c r="J27" s="120">
        <f t="shared" si="5"/>
        <v>0</v>
      </c>
    </row>
    <row r="28" spans="1:14" s="209" customFormat="1" ht="15" x14ac:dyDescent="0.35">
      <c r="A28" s="32" t="s">
        <v>1934</v>
      </c>
      <c r="B28" s="215" t="s">
        <v>1916</v>
      </c>
      <c r="C28" s="14">
        <f>'45- capital Projects fund'!E12</f>
        <v>0</v>
      </c>
      <c r="D28" s="14">
        <v>0</v>
      </c>
      <c r="E28" s="14">
        <v>0</v>
      </c>
      <c r="F28" s="14">
        <v>0</v>
      </c>
      <c r="G28" s="14">
        <v>0</v>
      </c>
      <c r="H28" s="14">
        <v>0</v>
      </c>
      <c r="I28" s="14">
        <f>+G28-D28</f>
        <v>0</v>
      </c>
      <c r="J28" s="46">
        <v>0</v>
      </c>
    </row>
    <row r="29" spans="1:14" x14ac:dyDescent="0.2">
      <c r="B29" s="10" t="s">
        <v>1320</v>
      </c>
      <c r="C29" s="3">
        <f t="shared" ref="C29:I29" si="6">SUM(C22:C28)</f>
        <v>31643170</v>
      </c>
      <c r="D29" s="3">
        <f t="shared" si="6"/>
        <v>31135329</v>
      </c>
      <c r="E29" s="3">
        <f t="shared" si="6"/>
        <v>34028203.897280231</v>
      </c>
      <c r="F29" s="3">
        <f t="shared" si="6"/>
        <v>33424129</v>
      </c>
      <c r="G29" s="3">
        <f t="shared" si="6"/>
        <v>33469549</v>
      </c>
      <c r="H29" s="3">
        <f t="shared" si="6"/>
        <v>0</v>
      </c>
      <c r="I29" s="3">
        <f t="shared" si="6"/>
        <v>2334220</v>
      </c>
      <c r="J29" s="15">
        <f t="shared" si="5"/>
        <v>7.5</v>
      </c>
    </row>
    <row r="30" spans="1:14" x14ac:dyDescent="0.2">
      <c r="C30" s="3"/>
      <c r="D30" s="3"/>
      <c r="H30" s="3"/>
      <c r="I30" s="3"/>
    </row>
    <row r="31" spans="1:14" x14ac:dyDescent="0.2">
      <c r="A31" s="38" t="s">
        <v>1043</v>
      </c>
      <c r="B31" s="10" t="s">
        <v>1044</v>
      </c>
      <c r="C31" s="3">
        <f>+'10-wastewater'!E342</f>
        <v>4433011</v>
      </c>
      <c r="D31" s="3">
        <f>+'10-wastewater'!F342-'10-wastewater'!F340</f>
        <v>4198229</v>
      </c>
      <c r="E31" s="3">
        <f>+'10-wastewater'!G342-'10-wastewater'!G340</f>
        <v>4378204.6500000004</v>
      </c>
      <c r="F31" s="3">
        <f>+'10-wastewater'!H342-'10-wastewater'!H340</f>
        <v>4378204.6500000004</v>
      </c>
      <c r="G31" s="3">
        <f>+'10-wastewater'!I342-'10-wastewater'!I340</f>
        <v>4385238.6500000004</v>
      </c>
      <c r="H31" s="3">
        <f>+'10-wastewater'!J342</f>
        <v>0</v>
      </c>
      <c r="I31" s="3">
        <f>+G31-D31</f>
        <v>187009.65000000037</v>
      </c>
      <c r="J31" s="15">
        <f>ROUND((I31/D31)*100,2)</f>
        <v>4.45</v>
      </c>
    </row>
    <row r="32" spans="1:14" s="246" customFormat="1" x14ac:dyDescent="0.2">
      <c r="A32" s="117">
        <v>27</v>
      </c>
      <c r="B32" s="118" t="s">
        <v>1215</v>
      </c>
      <c r="C32" s="119">
        <f>+'27-debt svc'!B64</f>
        <v>719956</v>
      </c>
      <c r="D32" s="119">
        <f>+'27-debt svc'!C64</f>
        <v>445055</v>
      </c>
      <c r="E32" s="119">
        <f>+'27-debt svc'!D64</f>
        <v>438101</v>
      </c>
      <c r="F32" s="119">
        <f>+'27-debt svc'!E64</f>
        <v>438101</v>
      </c>
      <c r="G32" s="119">
        <f>+'27-debt svc'!F64</f>
        <v>438101</v>
      </c>
      <c r="H32" s="119">
        <f>+'27-debt svc'!G64</f>
        <v>0</v>
      </c>
      <c r="I32" s="119">
        <f>+G32-D32</f>
        <v>-6954</v>
      </c>
      <c r="J32" s="120">
        <f>ROUND((I32/D32)*100,2)</f>
        <v>-1.56</v>
      </c>
    </row>
    <row r="33" spans="1:12" s="246" customFormat="1" ht="15" x14ac:dyDescent="0.35">
      <c r="A33" s="38">
        <v>43</v>
      </c>
      <c r="B33" s="246" t="s">
        <v>2160</v>
      </c>
      <c r="C33" s="14">
        <f>'43- WWTF capital Project'!E12</f>
        <v>7001133</v>
      </c>
      <c r="D33" s="14">
        <f>'43- WWTF capital Project'!F12</f>
        <v>10102750</v>
      </c>
      <c r="E33" s="14">
        <v>0</v>
      </c>
      <c r="F33" s="14">
        <v>0</v>
      </c>
      <c r="G33" s="14">
        <v>0</v>
      </c>
      <c r="H33" s="14">
        <f>'43- WWTF capital Project'!J12</f>
        <v>0</v>
      </c>
      <c r="I33" s="14">
        <f>+G33-D33</f>
        <v>-10102750</v>
      </c>
      <c r="J33" s="46">
        <v>100</v>
      </c>
    </row>
    <row r="34" spans="1:12" x14ac:dyDescent="0.2">
      <c r="A34" s="10" t="s">
        <v>418</v>
      </c>
      <c r="B34" s="10" t="s">
        <v>1000</v>
      </c>
      <c r="C34" s="3">
        <f>SUM(C31:C33)</f>
        <v>12154100</v>
      </c>
      <c r="D34" s="3">
        <f t="shared" ref="D34:I34" si="7">SUM(D31:D33)</f>
        <v>14746034</v>
      </c>
      <c r="E34" s="3">
        <f t="shared" si="7"/>
        <v>4816305.6500000004</v>
      </c>
      <c r="F34" s="3">
        <f t="shared" si="7"/>
        <v>4816305.6500000004</v>
      </c>
      <c r="G34" s="3">
        <f t="shared" si="7"/>
        <v>4823339.6500000004</v>
      </c>
      <c r="H34" s="3">
        <f t="shared" si="7"/>
        <v>0</v>
      </c>
      <c r="I34" s="3">
        <f t="shared" si="7"/>
        <v>-9922694.3499999996</v>
      </c>
      <c r="J34" s="15">
        <f>ROUND((I34/D34)*100,2)</f>
        <v>-67.290000000000006</v>
      </c>
    </row>
    <row r="35" spans="1:12" x14ac:dyDescent="0.2">
      <c r="C35" s="3"/>
      <c r="D35" s="3"/>
      <c r="H35" s="3"/>
    </row>
    <row r="36" spans="1:12" x14ac:dyDescent="0.2">
      <c r="A36" s="117" t="s">
        <v>1190</v>
      </c>
      <c r="B36" s="118" t="s">
        <v>1001</v>
      </c>
      <c r="C36" s="119">
        <f>'32-Media'!E110</f>
        <v>326108</v>
      </c>
      <c r="D36" s="119">
        <f>+'32-Media'!F110</f>
        <v>382268</v>
      </c>
      <c r="E36" s="119">
        <f>+'32-Media'!G110</f>
        <v>386596</v>
      </c>
      <c r="F36" s="119">
        <f>+'32-Media'!H110</f>
        <v>379596</v>
      </c>
      <c r="G36" s="119">
        <f>+'32-Media'!I110</f>
        <v>386675</v>
      </c>
      <c r="H36" s="119">
        <f>+'32-Media'!J110</f>
        <v>0</v>
      </c>
      <c r="I36" s="119">
        <f>+G36-D36</f>
        <v>4407</v>
      </c>
      <c r="J36" s="120">
        <f>ROUND((I36/D36)*100,2)</f>
        <v>1.1499999999999999</v>
      </c>
    </row>
    <row r="37" spans="1:12" x14ac:dyDescent="0.2">
      <c r="C37" s="3"/>
      <c r="D37" s="3"/>
      <c r="H37" s="3"/>
      <c r="I37" s="3"/>
      <c r="J37" s="86" t="s">
        <v>418</v>
      </c>
    </row>
    <row r="38" spans="1:12" ht="15" x14ac:dyDescent="0.35">
      <c r="A38" s="38" t="s">
        <v>1191</v>
      </c>
      <c r="B38" s="10" t="s">
        <v>1002</v>
      </c>
      <c r="C38" s="14">
        <f>+'33-Fire Protection -other'!E18</f>
        <v>111214</v>
      </c>
      <c r="D38" s="14">
        <f>+'33-Fire Protection -other'!F18</f>
        <v>107718</v>
      </c>
      <c r="E38" s="14">
        <f>+'33-Fire Protection -other'!G18</f>
        <v>112000</v>
      </c>
      <c r="F38" s="14">
        <f>+'33-Fire Protection -other'!H18</f>
        <v>112000</v>
      </c>
      <c r="G38" s="14">
        <f>+'33-Fire Protection -other'!I18</f>
        <v>112000</v>
      </c>
      <c r="H38" s="14">
        <f>+'33-Fire Protection -other'!J18</f>
        <v>0</v>
      </c>
      <c r="I38" s="14">
        <f>+G38-D38</f>
        <v>4282</v>
      </c>
      <c r="J38" s="46">
        <f>ROUND((I38/D38)*100,2)</f>
        <v>3.98</v>
      </c>
    </row>
    <row r="39" spans="1:12" x14ac:dyDescent="0.2">
      <c r="C39" s="3"/>
      <c r="D39" s="3"/>
      <c r="H39" s="3"/>
    </row>
    <row r="40" spans="1:12" x14ac:dyDescent="0.2">
      <c r="B40" s="10" t="s">
        <v>1424</v>
      </c>
      <c r="C40" s="3">
        <f>SUM(C34:C38)+C29</f>
        <v>44234592</v>
      </c>
      <c r="D40" s="3">
        <f t="shared" ref="D40:H40" si="8">SUM(D34:D38)+D29</f>
        <v>46371349</v>
      </c>
      <c r="E40" s="3">
        <f t="shared" si="8"/>
        <v>39343105.54728023</v>
      </c>
      <c r="F40" s="3">
        <f t="shared" si="8"/>
        <v>38732030.649999999</v>
      </c>
      <c r="G40" s="3">
        <f t="shared" si="8"/>
        <v>38791563.649999999</v>
      </c>
      <c r="H40" s="3">
        <f t="shared" si="8"/>
        <v>0</v>
      </c>
      <c r="I40" s="3">
        <f>SUM(I34:I38)+I29</f>
        <v>-7579785.3499999996</v>
      </c>
      <c r="J40" s="15">
        <f>ROUND((I40/D40)*100,2)</f>
        <v>-16.350000000000001</v>
      </c>
      <c r="L40" s="3"/>
    </row>
    <row r="41" spans="1:12" x14ac:dyDescent="0.2">
      <c r="C41" s="290"/>
      <c r="E41" s="10"/>
      <c r="F41" s="10"/>
      <c r="G41" s="10"/>
    </row>
    <row r="42" spans="1:12" x14ac:dyDescent="0.2">
      <c r="A42" s="10" t="s">
        <v>1003</v>
      </c>
      <c r="C42" s="290"/>
      <c r="E42" s="10"/>
      <c r="F42" s="10"/>
      <c r="G42" s="10"/>
    </row>
    <row r="43" spans="1:12" x14ac:dyDescent="0.2">
      <c r="B43" s="10" t="s">
        <v>2074</v>
      </c>
      <c r="C43" s="3">
        <v>1815000</v>
      </c>
      <c r="D43" s="3">
        <v>1947250</v>
      </c>
      <c r="E43" s="3">
        <v>1947250</v>
      </c>
      <c r="F43" s="3">
        <f>+'crf funding'!G45</f>
        <v>1947250</v>
      </c>
      <c r="G43" s="3">
        <f>+'crf funding'!H45</f>
        <v>1947250</v>
      </c>
      <c r="H43" s="3"/>
      <c r="I43" s="3">
        <f>+G43-D43</f>
        <v>0</v>
      </c>
      <c r="J43" s="15">
        <f>ROUND((I43/D43)*100,2)</f>
        <v>0</v>
      </c>
    </row>
    <row r="44" spans="1:12" s="395" customFormat="1" x14ac:dyDescent="0.2">
      <c r="B44" s="395" t="s">
        <v>2490</v>
      </c>
      <c r="C44" s="3">
        <v>2053793</v>
      </c>
      <c r="D44" s="3">
        <v>0</v>
      </c>
      <c r="E44" s="3">
        <v>0</v>
      </c>
      <c r="F44" s="3"/>
      <c r="G44" s="3"/>
      <c r="H44" s="3"/>
      <c r="I44" s="3">
        <f>+G44-D44</f>
        <v>0</v>
      </c>
      <c r="J44" s="15"/>
    </row>
    <row r="45" spans="1:12" s="245" customFormat="1" x14ac:dyDescent="0.2">
      <c r="B45" s="245" t="s">
        <v>2073</v>
      </c>
      <c r="C45" s="3">
        <v>500000</v>
      </c>
      <c r="D45" s="3">
        <v>500000</v>
      </c>
      <c r="E45" s="3">
        <v>550000</v>
      </c>
      <c r="F45" s="3">
        <f>+'crf funding'!G49</f>
        <v>550000</v>
      </c>
      <c r="G45" s="3">
        <f>+'crf funding'!H49</f>
        <v>550000</v>
      </c>
      <c r="H45" s="3"/>
      <c r="I45" s="3">
        <f>+G45-D45</f>
        <v>50000</v>
      </c>
      <c r="J45" s="15">
        <f>ROUND((I45/D45)*100,2)</f>
        <v>10</v>
      </c>
    </row>
    <row r="46" spans="1:12" s="395" customFormat="1" x14ac:dyDescent="0.2">
      <c r="B46" s="395" t="s">
        <v>2491</v>
      </c>
      <c r="C46" s="3">
        <v>4396</v>
      </c>
      <c r="D46" s="3">
        <v>0</v>
      </c>
      <c r="E46" s="3">
        <v>0</v>
      </c>
      <c r="F46" s="3">
        <v>0</v>
      </c>
      <c r="G46" s="3">
        <v>0</v>
      </c>
      <c r="H46" s="3">
        <v>0</v>
      </c>
      <c r="I46" s="3">
        <f t="shared" ref="I46:I50" si="9">+G46-D46</f>
        <v>0</v>
      </c>
      <c r="J46" s="15"/>
    </row>
    <row r="47" spans="1:12" s="395" customFormat="1" x14ac:dyDescent="0.2">
      <c r="B47" s="395" t="s">
        <v>2640</v>
      </c>
      <c r="C47" s="3">
        <v>0</v>
      </c>
      <c r="D47" s="3">
        <v>0</v>
      </c>
      <c r="E47" s="3">
        <v>0</v>
      </c>
      <c r="F47" s="3">
        <v>0</v>
      </c>
      <c r="G47" s="3">
        <v>154367</v>
      </c>
      <c r="H47" s="3">
        <v>0</v>
      </c>
      <c r="I47" s="3">
        <f t="shared" si="9"/>
        <v>154367</v>
      </c>
      <c r="J47" s="15"/>
    </row>
    <row r="48" spans="1:12" s="395" customFormat="1" x14ac:dyDescent="0.2">
      <c r="B48" s="395" t="s">
        <v>2641</v>
      </c>
      <c r="C48" s="3">
        <v>0</v>
      </c>
      <c r="D48" s="3">
        <v>0</v>
      </c>
      <c r="E48" s="3">
        <v>0</v>
      </c>
      <c r="F48" s="3">
        <v>0</v>
      </c>
      <c r="G48" s="3">
        <v>153941</v>
      </c>
      <c r="H48" s="3">
        <v>0</v>
      </c>
      <c r="I48" s="3">
        <f t="shared" si="9"/>
        <v>153941</v>
      </c>
      <c r="J48" s="15"/>
    </row>
    <row r="49" spans="1:10" s="232" customFormat="1" x14ac:dyDescent="0.2">
      <c r="B49" s="232" t="s">
        <v>2642</v>
      </c>
      <c r="C49" s="3">
        <v>0</v>
      </c>
      <c r="D49" s="3">
        <v>0</v>
      </c>
      <c r="E49" s="3">
        <v>0</v>
      </c>
      <c r="F49" s="3">
        <v>0</v>
      </c>
      <c r="G49" s="3">
        <v>162748</v>
      </c>
      <c r="H49" s="3">
        <v>0</v>
      </c>
      <c r="I49" s="3">
        <f t="shared" si="9"/>
        <v>162748</v>
      </c>
      <c r="J49" s="15">
        <v>0</v>
      </c>
    </row>
    <row r="50" spans="1:10" ht="15" x14ac:dyDescent="0.35">
      <c r="B50" s="287"/>
      <c r="C50" s="21">
        <v>0</v>
      </c>
      <c r="D50" s="21">
        <v>0</v>
      </c>
      <c r="E50" s="21">
        <v>0</v>
      </c>
      <c r="F50" s="21">
        <v>0</v>
      </c>
      <c r="G50" s="21">
        <v>0</v>
      </c>
      <c r="H50" s="21">
        <v>0</v>
      </c>
      <c r="I50" s="14">
        <f t="shared" si="9"/>
        <v>0</v>
      </c>
      <c r="J50" s="46">
        <v>0</v>
      </c>
    </row>
    <row r="51" spans="1:10" x14ac:dyDescent="0.2">
      <c r="C51" s="290"/>
      <c r="E51" s="10"/>
      <c r="F51" s="10"/>
      <c r="G51" s="10"/>
      <c r="J51" s="226"/>
    </row>
    <row r="52" spans="1:10" x14ac:dyDescent="0.2">
      <c r="B52" s="10" t="s">
        <v>1004</v>
      </c>
      <c r="C52" s="3">
        <f>SUM(C43:C50)</f>
        <v>4373189</v>
      </c>
      <c r="D52" s="3">
        <f>SUM(D43:D50)</f>
        <v>2447250</v>
      </c>
      <c r="E52" s="3">
        <f>SUM(E43:E51)</f>
        <v>2497250</v>
      </c>
      <c r="F52" s="3">
        <f>SUM(F43:F50)</f>
        <v>2497250</v>
      </c>
      <c r="G52" s="3">
        <f>SUM(G43:G50)</f>
        <v>2968306</v>
      </c>
      <c r="H52" s="3">
        <f>SUM(H43:H50)</f>
        <v>0</v>
      </c>
      <c r="I52" s="3">
        <f>SUM(I43:I50)</f>
        <v>521056</v>
      </c>
      <c r="J52" s="15">
        <f>ROUND((I52/D52)*100,2)</f>
        <v>21.29</v>
      </c>
    </row>
    <row r="53" spans="1:10" x14ac:dyDescent="0.2">
      <c r="C53" s="290"/>
      <c r="E53" s="10"/>
      <c r="F53" s="10"/>
      <c r="G53" s="10"/>
    </row>
    <row r="54" spans="1:10" x14ac:dyDescent="0.2">
      <c r="A54" s="118"/>
      <c r="B54" s="118" t="s">
        <v>1005</v>
      </c>
      <c r="C54" s="119">
        <f t="shared" ref="C54:I54" si="10">+C52+C40</f>
        <v>48607781</v>
      </c>
      <c r="D54" s="119">
        <f t="shared" si="10"/>
        <v>48818599</v>
      </c>
      <c r="E54" s="119">
        <f t="shared" si="10"/>
        <v>41840355.54728023</v>
      </c>
      <c r="F54" s="119">
        <f t="shared" si="10"/>
        <v>41229280.649999999</v>
      </c>
      <c r="G54" s="119">
        <f t="shared" si="10"/>
        <v>41759869.649999999</v>
      </c>
      <c r="H54" s="119">
        <f t="shared" si="10"/>
        <v>0</v>
      </c>
      <c r="I54" s="119">
        <f t="shared" si="10"/>
        <v>-7058729.3499999996</v>
      </c>
      <c r="J54" s="120">
        <f>ROUND((I54/D54)*100,2)</f>
        <v>-14.46</v>
      </c>
    </row>
    <row r="55" spans="1:10" x14ac:dyDescent="0.2">
      <c r="C55" s="290"/>
      <c r="H55" s="3"/>
    </row>
    <row r="56" spans="1:10" x14ac:dyDescent="0.2">
      <c r="C56" s="290"/>
    </row>
    <row r="57" spans="1:10" x14ac:dyDescent="0.2">
      <c r="C57" s="290"/>
      <c r="D57" s="3"/>
      <c r="H57" s="3"/>
    </row>
    <row r="58" spans="1:10" x14ac:dyDescent="0.2">
      <c r="C58" s="290"/>
    </row>
    <row r="59" spans="1:10" x14ac:dyDescent="0.2">
      <c r="C59" s="3"/>
      <c r="D59" s="3">
        <v>48818599</v>
      </c>
      <c r="E59" s="86"/>
      <c r="G59" s="119">
        <v>41759870</v>
      </c>
      <c r="H59" s="3"/>
    </row>
    <row r="60" spans="1:10" x14ac:dyDescent="0.2">
      <c r="C60" s="3"/>
      <c r="D60" s="3">
        <f>+D54-D59</f>
        <v>0</v>
      </c>
      <c r="G60" s="3">
        <f>G54-G59</f>
        <v>-0.35000000149011612</v>
      </c>
      <c r="H60" s="3"/>
    </row>
    <row r="61" spans="1:10" x14ac:dyDescent="0.2">
      <c r="C61" s="290"/>
    </row>
    <row r="62" spans="1:10" x14ac:dyDescent="0.2">
      <c r="C62" s="3"/>
      <c r="H62" s="3"/>
    </row>
    <row r="63" spans="1:10" s="382" customFormat="1" x14ac:dyDescent="0.2">
      <c r="C63" s="3"/>
      <c r="E63" s="3"/>
      <c r="F63" s="3"/>
      <c r="G63" s="3"/>
      <c r="H63" s="3"/>
    </row>
    <row r="64" spans="1:10" s="382" customFormat="1" x14ac:dyDescent="0.2">
      <c r="C64" s="3"/>
      <c r="D64" s="10"/>
      <c r="E64" s="3"/>
      <c r="F64" s="3"/>
      <c r="G64" s="3"/>
      <c r="H64" s="3"/>
    </row>
    <row r="65" spans="2:8" s="382" customFormat="1" x14ac:dyDescent="0.2">
      <c r="C65" s="3"/>
      <c r="E65" s="3"/>
      <c r="F65" s="3"/>
      <c r="G65" s="3"/>
      <c r="H65" s="3"/>
    </row>
    <row r="66" spans="2:8" s="382" customFormat="1" x14ac:dyDescent="0.2">
      <c r="B66" s="10"/>
      <c r="C66" s="3"/>
      <c r="E66" s="3"/>
      <c r="F66" s="3"/>
      <c r="G66" s="3"/>
      <c r="H66" s="3"/>
    </row>
    <row r="67" spans="2:8" x14ac:dyDescent="0.2">
      <c r="C67" s="3"/>
    </row>
    <row r="68" spans="2:8" s="382" customFormat="1" x14ac:dyDescent="0.2">
      <c r="C68" s="3"/>
      <c r="E68" s="3"/>
      <c r="F68" s="3"/>
      <c r="G68" s="3"/>
    </row>
    <row r="69" spans="2:8" s="382" customFormat="1" x14ac:dyDescent="0.2">
      <c r="C69" s="3"/>
      <c r="E69" s="3"/>
      <c r="F69" s="3"/>
      <c r="G69" s="3"/>
    </row>
    <row r="70" spans="2:8" x14ac:dyDescent="0.2">
      <c r="C70" s="3"/>
    </row>
    <row r="71" spans="2:8" s="382" customFormat="1" x14ac:dyDescent="0.2">
      <c r="C71" s="3"/>
      <c r="E71" s="3"/>
      <c r="F71" s="3"/>
      <c r="G71" s="3"/>
    </row>
    <row r="72" spans="2:8" s="382" customFormat="1" x14ac:dyDescent="0.2">
      <c r="C72" s="3"/>
      <c r="E72" s="3"/>
      <c r="F72" s="3"/>
      <c r="G72" s="3"/>
    </row>
    <row r="73" spans="2:8" s="382" customFormat="1" x14ac:dyDescent="0.2">
      <c r="C73" s="3"/>
      <c r="E73" s="3"/>
      <c r="F73" s="3"/>
      <c r="G73" s="3"/>
    </row>
    <row r="74" spans="2:8" s="382" customFormat="1" ht="15" x14ac:dyDescent="0.35">
      <c r="C74" s="14"/>
      <c r="E74" s="3"/>
      <c r="F74" s="3"/>
      <c r="G74" s="3"/>
    </row>
    <row r="75" spans="2:8" x14ac:dyDescent="0.2">
      <c r="C75" s="3"/>
    </row>
    <row r="76" spans="2:8" x14ac:dyDescent="0.2">
      <c r="C76" s="3"/>
      <c r="H76" s="3"/>
    </row>
    <row r="77" spans="2:8" x14ac:dyDescent="0.2">
      <c r="C77" s="3"/>
      <c r="H77" s="3"/>
    </row>
    <row r="78" spans="2:8" x14ac:dyDescent="0.2">
      <c r="H78" s="3"/>
    </row>
    <row r="79" spans="2:8" x14ac:dyDescent="0.2">
      <c r="H79" s="3"/>
    </row>
    <row r="80" spans="2:8" x14ac:dyDescent="0.2">
      <c r="H80" s="3"/>
    </row>
    <row r="81" spans="3:8" x14ac:dyDescent="0.2">
      <c r="H81" s="3"/>
    </row>
    <row r="82" spans="3:8" x14ac:dyDescent="0.2">
      <c r="C82" s="3"/>
      <c r="H82" s="3"/>
    </row>
    <row r="83" spans="3:8" x14ac:dyDescent="0.2">
      <c r="H83" s="3"/>
    </row>
    <row r="84" spans="3:8" x14ac:dyDescent="0.2">
      <c r="H84" s="3"/>
    </row>
    <row r="85" spans="3:8" x14ac:dyDescent="0.2">
      <c r="H85" s="3"/>
    </row>
    <row r="86" spans="3:8" x14ac:dyDescent="0.2">
      <c r="H86" s="3"/>
    </row>
    <row r="87" spans="3:8" x14ac:dyDescent="0.2">
      <c r="C87" s="3"/>
      <c r="H87" s="3"/>
    </row>
  </sheetData>
  <mergeCells count="2">
    <mergeCell ref="A1:J1"/>
    <mergeCell ref="I3:J3"/>
  </mergeCells>
  <phoneticPr fontId="8" type="noConversion"/>
  <printOptions horizontalCentered="1" gridLines="1"/>
  <pageMargins left="0.75" right="0.16" top="0.51" bottom="0.22" header="0.6" footer="0"/>
  <pageSetup scale="74" orientation="landscape" copies="15" r:id="rId1"/>
  <headerFooter alignWithMargins="0">
    <oddHeader>&amp;C&amp;"Arial,Bold"&amp;12Town of Merrimack</odd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47"/>
  <sheetViews>
    <sheetView view="pageBreakPreview" zoomScaleNormal="100" zoomScaleSheetLayoutView="100" workbookViewId="0">
      <pane xSplit="16" ySplit="5" topLeftCell="Q6" activePane="bottomRight" state="frozen"/>
      <selection pane="topRight" activeCell="Q1" sqref="Q1"/>
      <selection pane="bottomLeft" activeCell="A6" sqref="A6"/>
      <selection pane="bottomRight" activeCell="W15" sqref="W15"/>
    </sheetView>
  </sheetViews>
  <sheetFormatPr defaultColWidth="8.85546875" defaultRowHeight="15.75" x14ac:dyDescent="0.25"/>
  <cols>
    <col min="1" max="1" width="41.5703125" style="113" customWidth="1"/>
    <col min="2" max="2" width="9.7109375" style="113" hidden="1" customWidth="1"/>
    <col min="3" max="5" width="11.42578125" style="113" hidden="1" customWidth="1"/>
    <col min="6" max="6" width="9.7109375" style="113" hidden="1" customWidth="1"/>
    <col min="7" max="7" width="13.5703125" style="113" hidden="1" customWidth="1"/>
    <col min="8" max="8" width="9.7109375" style="113" hidden="1" customWidth="1"/>
    <col min="9" max="9" width="13.42578125" style="114" hidden="1" customWidth="1"/>
    <col min="10" max="10" width="11.42578125" style="115" hidden="1" customWidth="1"/>
    <col min="11" max="11" width="9.7109375" style="115" hidden="1" customWidth="1"/>
    <col min="12" max="12" width="12.28515625" style="115" hidden="1" customWidth="1"/>
    <col min="13" max="13" width="11.42578125" style="115" hidden="1" customWidth="1"/>
    <col min="14" max="14" width="11.42578125" style="113" hidden="1" customWidth="1"/>
    <col min="15" max="15" width="12.28515625" style="113" hidden="1" customWidth="1"/>
    <col min="16" max="16" width="11.42578125" style="113" hidden="1" customWidth="1"/>
    <col min="17" max="17" width="11.42578125" style="113" bestFit="1" customWidth="1"/>
    <col min="18" max="18" width="12.28515625" style="113" hidden="1" customWidth="1"/>
    <col min="19" max="19" width="11.7109375" style="113" hidden="1" customWidth="1"/>
    <col min="20" max="20" width="11.42578125" style="113" bestFit="1" customWidth="1"/>
    <col min="21" max="21" width="12.28515625" style="113" hidden="1" customWidth="1"/>
    <col min="22" max="22" width="11.42578125" style="113" hidden="1" customWidth="1"/>
    <col min="23" max="23" width="11.42578125" style="113" bestFit="1" customWidth="1"/>
    <col min="24" max="24" width="12.42578125" style="113" hidden="1" customWidth="1"/>
    <col min="25" max="25" width="12.28515625" style="113" hidden="1" customWidth="1"/>
    <col min="26" max="26" width="11.42578125" style="113" bestFit="1" customWidth="1"/>
    <col min="27" max="27" width="12.28515625" style="113" hidden="1" customWidth="1"/>
    <col min="28" max="29" width="11.42578125" style="113" bestFit="1" customWidth="1"/>
    <col min="30" max="30" width="12.28515625" style="113" bestFit="1" customWidth="1"/>
    <col min="31" max="31" width="11.7109375" style="113" bestFit="1" customWidth="1"/>
    <col min="32" max="32" width="11.42578125" style="113" bestFit="1" customWidth="1"/>
    <col min="33" max="33" width="12.28515625" style="113" bestFit="1" customWidth="1"/>
    <col min="34" max="34" width="11.7109375" style="113" bestFit="1" customWidth="1"/>
    <col min="35" max="16384" width="8.85546875" style="113"/>
  </cols>
  <sheetData>
    <row r="1" spans="1:34" x14ac:dyDescent="0.25">
      <c r="A1" s="565" t="s">
        <v>2526</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row>
    <row r="2" spans="1:34" x14ac:dyDescent="0.25">
      <c r="A2" s="566" t="s">
        <v>749</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row>
    <row r="3" spans="1:34" x14ac:dyDescent="0.25">
      <c r="A3" s="565" t="s">
        <v>418</v>
      </c>
      <c r="B3" s="565"/>
      <c r="C3" s="565"/>
      <c r="D3" s="565"/>
      <c r="E3" s="565"/>
      <c r="F3" s="565"/>
      <c r="G3" s="565"/>
      <c r="H3" s="565"/>
      <c r="I3" s="565"/>
      <c r="J3" s="565"/>
      <c r="K3" s="565"/>
      <c r="L3" s="565"/>
      <c r="M3" s="565"/>
    </row>
    <row r="4" spans="1:34" x14ac:dyDescent="0.25">
      <c r="A4" s="90"/>
      <c r="B4" s="91" t="s">
        <v>250</v>
      </c>
      <c r="C4" s="89" t="s">
        <v>250</v>
      </c>
      <c r="D4" s="89" t="s">
        <v>250</v>
      </c>
      <c r="E4" s="89" t="s">
        <v>250</v>
      </c>
      <c r="F4" s="89" t="s">
        <v>250</v>
      </c>
      <c r="G4" s="89" t="s">
        <v>725</v>
      </c>
      <c r="H4" s="89" t="s">
        <v>250</v>
      </c>
      <c r="I4" s="89" t="s">
        <v>750</v>
      </c>
      <c r="J4" s="89" t="s">
        <v>751</v>
      </c>
      <c r="K4" s="89" t="s">
        <v>250</v>
      </c>
      <c r="L4" s="89" t="s">
        <v>752</v>
      </c>
      <c r="M4" s="89" t="s">
        <v>93</v>
      </c>
      <c r="N4" s="89" t="s">
        <v>250</v>
      </c>
      <c r="O4" s="89" t="s">
        <v>752</v>
      </c>
      <c r="P4" s="89" t="s">
        <v>1764</v>
      </c>
      <c r="Q4" s="447" t="s">
        <v>251</v>
      </c>
      <c r="R4" s="447" t="s">
        <v>752</v>
      </c>
      <c r="S4" s="447" t="s">
        <v>93</v>
      </c>
      <c r="T4" s="447" t="s">
        <v>251</v>
      </c>
      <c r="U4" s="447" t="s">
        <v>752</v>
      </c>
      <c r="V4" s="447" t="s">
        <v>93</v>
      </c>
      <c r="W4" s="447" t="s">
        <v>251</v>
      </c>
      <c r="X4" s="89" t="s">
        <v>752</v>
      </c>
      <c r="Y4" s="89" t="s">
        <v>93</v>
      </c>
      <c r="Z4" s="365" t="s">
        <v>251</v>
      </c>
      <c r="AA4" s="222" t="s">
        <v>752</v>
      </c>
      <c r="AB4" s="222" t="s">
        <v>2664</v>
      </c>
      <c r="AC4" s="233" t="s">
        <v>251</v>
      </c>
      <c r="AD4" s="233" t="s">
        <v>752</v>
      </c>
      <c r="AE4" s="233" t="s">
        <v>93</v>
      </c>
      <c r="AF4" s="288" t="s">
        <v>251</v>
      </c>
      <c r="AG4" s="288" t="s">
        <v>752</v>
      </c>
      <c r="AH4" s="288" t="s">
        <v>2666</v>
      </c>
    </row>
    <row r="5" spans="1:34" x14ac:dyDescent="0.25">
      <c r="A5" s="90"/>
      <c r="B5" s="92" t="s">
        <v>545</v>
      </c>
      <c r="C5" s="93" t="s">
        <v>24</v>
      </c>
      <c r="D5" s="93" t="s">
        <v>903</v>
      </c>
      <c r="E5" s="93" t="s">
        <v>584</v>
      </c>
      <c r="F5" s="93" t="s">
        <v>402</v>
      </c>
      <c r="G5" s="94">
        <v>40724</v>
      </c>
      <c r="H5" s="95" t="s">
        <v>826</v>
      </c>
      <c r="I5" s="95" t="s">
        <v>826</v>
      </c>
      <c r="J5" s="94">
        <v>41456</v>
      </c>
      <c r="K5" s="95" t="s">
        <v>82</v>
      </c>
      <c r="L5" s="95" t="s">
        <v>82</v>
      </c>
      <c r="M5" s="94">
        <v>41821</v>
      </c>
      <c r="N5" s="95" t="s">
        <v>112</v>
      </c>
      <c r="O5" s="95" t="s">
        <v>112</v>
      </c>
      <c r="P5" s="94">
        <v>42185</v>
      </c>
      <c r="Q5" s="95" t="s">
        <v>1918</v>
      </c>
      <c r="R5" s="95" t="s">
        <v>1785</v>
      </c>
      <c r="S5" s="94">
        <v>43281</v>
      </c>
      <c r="T5" s="95" t="s">
        <v>2003</v>
      </c>
      <c r="U5" s="95" t="s">
        <v>1785</v>
      </c>
      <c r="V5" s="94">
        <v>43281</v>
      </c>
      <c r="W5" s="95" t="s">
        <v>2084</v>
      </c>
      <c r="X5" s="95" t="s">
        <v>1785</v>
      </c>
      <c r="Y5" s="94">
        <v>43281</v>
      </c>
      <c r="Z5" s="95" t="s">
        <v>2163</v>
      </c>
      <c r="AA5" s="95" t="s">
        <v>1918</v>
      </c>
      <c r="AB5" s="94">
        <v>44742</v>
      </c>
      <c r="AC5" s="95" t="s">
        <v>2290</v>
      </c>
      <c r="AD5" s="95" t="s">
        <v>2290</v>
      </c>
      <c r="AE5" s="94">
        <v>45107</v>
      </c>
      <c r="AF5" s="95" t="s">
        <v>2507</v>
      </c>
      <c r="AG5" s="95" t="s">
        <v>2665</v>
      </c>
      <c r="AH5" s="94">
        <v>45473</v>
      </c>
    </row>
    <row r="6" spans="1:34" x14ac:dyDescent="0.25">
      <c r="A6" s="90" t="s">
        <v>753</v>
      </c>
      <c r="B6" s="96">
        <v>50000</v>
      </c>
      <c r="C6" s="97">
        <v>50000</v>
      </c>
      <c r="D6" s="97">
        <v>50000</v>
      </c>
      <c r="E6" s="98">
        <v>50000</v>
      </c>
      <c r="F6" s="98">
        <v>50000</v>
      </c>
      <c r="G6" s="98">
        <v>203284</v>
      </c>
      <c r="H6" s="97">
        <v>50000</v>
      </c>
      <c r="I6" s="97">
        <v>0</v>
      </c>
      <c r="J6" s="98">
        <v>303789</v>
      </c>
      <c r="K6" s="97">
        <v>12000</v>
      </c>
      <c r="L6" s="97">
        <v>-200000</v>
      </c>
      <c r="M6" s="97" t="e">
        <f>#N/A</f>
        <v>#N/A</v>
      </c>
      <c r="N6" s="97">
        <v>50000</v>
      </c>
      <c r="O6" s="97">
        <v>0</v>
      </c>
      <c r="P6" s="97">
        <v>169931.28</v>
      </c>
      <c r="Q6" s="97">
        <v>80000</v>
      </c>
      <c r="R6" s="97">
        <v>-235000</v>
      </c>
      <c r="S6" s="97">
        <f t="shared" ref="S6:S22" si="0">+P6+Q6+R6</f>
        <v>14931.279999999999</v>
      </c>
      <c r="T6" s="97">
        <v>80000</v>
      </c>
      <c r="U6" s="97">
        <v>-235000</v>
      </c>
      <c r="V6" s="97">
        <f t="shared" ref="V6:V22" si="1">+S6+T6+U6</f>
        <v>-140068.72</v>
      </c>
      <c r="W6" s="97">
        <v>100000</v>
      </c>
      <c r="X6" s="97">
        <v>-235000</v>
      </c>
      <c r="Y6" s="97">
        <f t="shared" ref="Y6:Y25" si="2">+V6+W6+X6</f>
        <v>-275068.71999999997</v>
      </c>
      <c r="Z6" s="97">
        <v>100000</v>
      </c>
      <c r="AA6" s="97">
        <v>0</v>
      </c>
      <c r="AB6" s="97">
        <v>305030</v>
      </c>
      <c r="AC6" s="97">
        <v>115000</v>
      </c>
      <c r="AD6" s="97">
        <v>0</v>
      </c>
      <c r="AE6" s="97">
        <f t="shared" ref="AE6:AE25" si="3">+AB6+AC6+AD6</f>
        <v>420030</v>
      </c>
      <c r="AF6" s="97">
        <v>115000</v>
      </c>
      <c r="AG6" s="97"/>
      <c r="AH6" s="97">
        <f t="shared" ref="AH6:AH25" si="4">+AE6+AF6+AG6</f>
        <v>535030</v>
      </c>
    </row>
    <row r="7" spans="1:34" x14ac:dyDescent="0.25">
      <c r="A7" s="125" t="s">
        <v>754</v>
      </c>
      <c r="B7" s="126">
        <v>0</v>
      </c>
      <c r="C7" s="126">
        <v>0</v>
      </c>
      <c r="D7" s="126">
        <v>75000</v>
      </c>
      <c r="E7" s="127">
        <v>0</v>
      </c>
      <c r="F7" s="127">
        <v>0</v>
      </c>
      <c r="G7" s="127">
        <v>173356</v>
      </c>
      <c r="H7" s="126">
        <v>0</v>
      </c>
      <c r="I7" s="126">
        <v>0</v>
      </c>
      <c r="J7" s="127">
        <v>173856</v>
      </c>
      <c r="K7" s="126">
        <v>0</v>
      </c>
      <c r="L7" s="126">
        <v>0</v>
      </c>
      <c r="M7" s="126" t="e">
        <f>#N/A</f>
        <v>#N/A</v>
      </c>
      <c r="N7" s="126">
        <v>0</v>
      </c>
      <c r="O7" s="126">
        <v>0</v>
      </c>
      <c r="P7" s="126">
        <v>174213.31</v>
      </c>
      <c r="Q7" s="126">
        <v>0</v>
      </c>
      <c r="R7" s="126">
        <v>-50000</v>
      </c>
      <c r="S7" s="126">
        <f t="shared" si="0"/>
        <v>124213.31</v>
      </c>
      <c r="T7" s="126"/>
      <c r="U7" s="126">
        <v>-50000</v>
      </c>
      <c r="V7" s="126">
        <f t="shared" si="1"/>
        <v>74213.31</v>
      </c>
      <c r="W7" s="126">
        <v>5000</v>
      </c>
      <c r="X7" s="126">
        <v>-50000</v>
      </c>
      <c r="Y7" s="126">
        <f t="shared" si="2"/>
        <v>29213.309999999998</v>
      </c>
      <c r="Z7" s="126">
        <v>5000</v>
      </c>
      <c r="AA7" s="126">
        <v>0</v>
      </c>
      <c r="AB7" s="126">
        <v>149537</v>
      </c>
      <c r="AC7" s="126">
        <v>5000</v>
      </c>
      <c r="AD7" s="126">
        <v>0</v>
      </c>
      <c r="AE7" s="126">
        <f t="shared" si="3"/>
        <v>154537</v>
      </c>
      <c r="AF7" s="126">
        <v>5000</v>
      </c>
      <c r="AG7" s="126"/>
      <c r="AH7" s="126">
        <f t="shared" si="4"/>
        <v>159537</v>
      </c>
    </row>
    <row r="8" spans="1:34" x14ac:dyDescent="0.25">
      <c r="A8" s="90" t="s">
        <v>755</v>
      </c>
      <c r="B8" s="96">
        <v>10000</v>
      </c>
      <c r="C8" s="97">
        <v>10000</v>
      </c>
      <c r="D8" s="97">
        <v>35000</v>
      </c>
      <c r="E8" s="98">
        <v>0</v>
      </c>
      <c r="F8" s="98">
        <v>0</v>
      </c>
      <c r="G8" s="98">
        <v>57170</v>
      </c>
      <c r="H8" s="97">
        <v>0</v>
      </c>
      <c r="I8" s="97">
        <v>-15000</v>
      </c>
      <c r="J8" s="98">
        <v>47259</v>
      </c>
      <c r="K8" s="97">
        <v>10000</v>
      </c>
      <c r="L8" s="97">
        <v>-25000</v>
      </c>
      <c r="M8" s="97" t="e">
        <f>#N/A</f>
        <v>#N/A</v>
      </c>
      <c r="N8" s="97">
        <v>25000</v>
      </c>
      <c r="O8" s="97">
        <v>-20000</v>
      </c>
      <c r="P8" s="97">
        <v>58744.65</v>
      </c>
      <c r="Q8" s="97">
        <v>125000</v>
      </c>
      <c r="R8" s="97">
        <v>-559000</v>
      </c>
      <c r="S8" s="97">
        <f t="shared" si="0"/>
        <v>-375255.35</v>
      </c>
      <c r="T8" s="97">
        <v>125000</v>
      </c>
      <c r="U8" s="97">
        <v>-559000</v>
      </c>
      <c r="V8" s="97">
        <f t="shared" si="1"/>
        <v>-809255.35</v>
      </c>
      <c r="W8" s="97">
        <v>100000</v>
      </c>
      <c r="X8" s="97">
        <v>-559000</v>
      </c>
      <c r="Y8" s="97">
        <f t="shared" si="2"/>
        <v>-1268255.3500000001</v>
      </c>
      <c r="Z8" s="97">
        <v>100000</v>
      </c>
      <c r="AA8" s="97">
        <v>0</v>
      </c>
      <c r="AB8" s="97">
        <v>212410</v>
      </c>
      <c r="AC8" s="97">
        <v>100000</v>
      </c>
      <c r="AD8" s="97">
        <v>-125000</v>
      </c>
      <c r="AE8" s="97">
        <f t="shared" si="3"/>
        <v>187410</v>
      </c>
      <c r="AF8" s="97">
        <v>100000</v>
      </c>
      <c r="AG8" s="97"/>
      <c r="AH8" s="97">
        <f t="shared" si="4"/>
        <v>287410</v>
      </c>
    </row>
    <row r="9" spans="1:34" x14ac:dyDescent="0.25">
      <c r="A9" s="125" t="s">
        <v>756</v>
      </c>
      <c r="B9" s="126">
        <v>26000</v>
      </c>
      <c r="C9" s="126">
        <v>50000</v>
      </c>
      <c r="D9" s="126">
        <v>10000</v>
      </c>
      <c r="E9" s="127">
        <v>10000</v>
      </c>
      <c r="F9" s="127">
        <v>5000</v>
      </c>
      <c r="G9" s="127">
        <v>30851</v>
      </c>
      <c r="H9" s="126">
        <v>0</v>
      </c>
      <c r="I9" s="126">
        <v>-6950</v>
      </c>
      <c r="J9" s="127">
        <v>45954</v>
      </c>
      <c r="K9" s="126">
        <v>35000</v>
      </c>
      <c r="L9" s="126">
        <f>-55000-16000+15000</f>
        <v>-56000</v>
      </c>
      <c r="M9" s="126" t="e">
        <f>#N/A</f>
        <v>#N/A</v>
      </c>
      <c r="N9" s="126">
        <v>35000</v>
      </c>
      <c r="O9" s="126">
        <v>-50000</v>
      </c>
      <c r="P9" s="126">
        <v>24974.97</v>
      </c>
      <c r="Q9" s="126">
        <v>35000</v>
      </c>
      <c r="R9" s="126">
        <v>-45000</v>
      </c>
      <c r="S9" s="126">
        <f t="shared" si="0"/>
        <v>14974.970000000001</v>
      </c>
      <c r="T9" s="126">
        <v>35000</v>
      </c>
      <c r="U9" s="126">
        <v>-45000</v>
      </c>
      <c r="V9" s="126">
        <f t="shared" si="1"/>
        <v>4974.9700000000012</v>
      </c>
      <c r="W9" s="126">
        <v>35000</v>
      </c>
      <c r="X9" s="126">
        <v>-45000</v>
      </c>
      <c r="Y9" s="126">
        <f t="shared" si="2"/>
        <v>-5025.0299999999988</v>
      </c>
      <c r="Z9" s="126">
        <v>35000</v>
      </c>
      <c r="AA9" s="126">
        <v>-71311</v>
      </c>
      <c r="AB9" s="126">
        <v>84197</v>
      </c>
      <c r="AC9" s="126">
        <v>35000</v>
      </c>
      <c r="AD9" s="126">
        <v>-46000</v>
      </c>
      <c r="AE9" s="126">
        <f t="shared" si="3"/>
        <v>73197</v>
      </c>
      <c r="AF9" s="126">
        <v>35000</v>
      </c>
      <c r="AG9" s="126"/>
      <c r="AH9" s="126">
        <f t="shared" si="4"/>
        <v>108197</v>
      </c>
    </row>
    <row r="10" spans="1:34" x14ac:dyDescent="0.25">
      <c r="A10" s="90" t="s">
        <v>757</v>
      </c>
      <c r="B10" s="96">
        <f>-28525+103525</f>
        <v>75000</v>
      </c>
      <c r="C10" s="97">
        <v>155000</v>
      </c>
      <c r="D10" s="97">
        <v>100000</v>
      </c>
      <c r="E10" s="98">
        <v>50000</v>
      </c>
      <c r="F10" s="98">
        <v>0</v>
      </c>
      <c r="G10" s="98">
        <v>639438</v>
      </c>
      <c r="H10" s="97">
        <v>25000</v>
      </c>
      <c r="I10" s="97">
        <v>-362168</v>
      </c>
      <c r="J10" s="98">
        <v>282404</v>
      </c>
      <c r="K10" s="97">
        <v>25000</v>
      </c>
      <c r="L10" s="97">
        <v>0</v>
      </c>
      <c r="M10" s="97" t="e">
        <f>#N/A</f>
        <v>#N/A</v>
      </c>
      <c r="N10" s="97">
        <v>50000</v>
      </c>
      <c r="O10" s="97">
        <v>0</v>
      </c>
      <c r="P10" s="97">
        <v>358036.2</v>
      </c>
      <c r="Q10" s="97">
        <v>50000</v>
      </c>
      <c r="R10" s="97">
        <v>0</v>
      </c>
      <c r="S10" s="97">
        <f t="shared" si="0"/>
        <v>408036.2</v>
      </c>
      <c r="T10" s="97">
        <v>50000</v>
      </c>
      <c r="U10" s="97">
        <v>0</v>
      </c>
      <c r="V10" s="97">
        <f t="shared" si="1"/>
        <v>458036.2</v>
      </c>
      <c r="W10" s="97">
        <v>50000</v>
      </c>
      <c r="X10" s="97">
        <v>0</v>
      </c>
      <c r="Y10" s="97">
        <f t="shared" si="2"/>
        <v>508036.2</v>
      </c>
      <c r="Z10" s="97">
        <v>50000</v>
      </c>
      <c r="AA10" s="97">
        <v>-50000</v>
      </c>
      <c r="AB10" s="97">
        <v>326385</v>
      </c>
      <c r="AC10" s="97">
        <v>50000</v>
      </c>
      <c r="AD10" s="97">
        <v>-200000</v>
      </c>
      <c r="AE10" s="97">
        <f t="shared" si="3"/>
        <v>176385</v>
      </c>
      <c r="AF10" s="97">
        <v>50000</v>
      </c>
      <c r="AG10" s="97"/>
      <c r="AH10" s="97">
        <f t="shared" si="4"/>
        <v>226385</v>
      </c>
    </row>
    <row r="11" spans="1:34" x14ac:dyDescent="0.25">
      <c r="A11" s="128" t="s">
        <v>758</v>
      </c>
      <c r="B11" s="126">
        <v>100000</v>
      </c>
      <c r="C11" s="126">
        <v>100000</v>
      </c>
      <c r="D11" s="126">
        <v>100000</v>
      </c>
      <c r="E11" s="127">
        <v>100000</v>
      </c>
      <c r="F11" s="127">
        <v>100000</v>
      </c>
      <c r="G11" s="127">
        <v>424541</v>
      </c>
      <c r="H11" s="126">
        <v>100000</v>
      </c>
      <c r="I11" s="126">
        <v>0</v>
      </c>
      <c r="J11" s="127">
        <v>499024</v>
      </c>
      <c r="K11" s="126">
        <v>100000</v>
      </c>
      <c r="L11" s="126">
        <v>-331301</v>
      </c>
      <c r="M11" s="126" t="e">
        <f>#N/A</f>
        <v>#N/A</v>
      </c>
      <c r="N11" s="126">
        <v>75000</v>
      </c>
      <c r="O11" s="126">
        <v>-70000</v>
      </c>
      <c r="P11" s="126">
        <v>287421.56</v>
      </c>
      <c r="Q11" s="126">
        <v>250000</v>
      </c>
      <c r="R11" s="126">
        <v>-53000</v>
      </c>
      <c r="S11" s="126">
        <f t="shared" si="0"/>
        <v>484421.56000000006</v>
      </c>
      <c r="T11" s="126">
        <v>250000</v>
      </c>
      <c r="U11" s="126">
        <v>-53000</v>
      </c>
      <c r="V11" s="126">
        <f t="shared" si="1"/>
        <v>681421.56</v>
      </c>
      <c r="W11" s="126">
        <v>325000</v>
      </c>
      <c r="X11" s="126">
        <v>-53000</v>
      </c>
      <c r="Y11" s="126">
        <f t="shared" si="2"/>
        <v>953421.56</v>
      </c>
      <c r="Z11" s="126">
        <v>400000</v>
      </c>
      <c r="AA11" s="126">
        <f>-419000-15000</f>
        <v>-434000</v>
      </c>
      <c r="AB11" s="126">
        <v>315502</v>
      </c>
      <c r="AC11" s="126">
        <v>400000</v>
      </c>
      <c r="AD11" s="126">
        <v>-153000</v>
      </c>
      <c r="AE11" s="126">
        <f t="shared" si="3"/>
        <v>562502</v>
      </c>
      <c r="AF11" s="126">
        <v>400000</v>
      </c>
      <c r="AG11" s="126"/>
      <c r="AH11" s="126">
        <f t="shared" si="4"/>
        <v>962502</v>
      </c>
    </row>
    <row r="12" spans="1:34" x14ac:dyDescent="0.25">
      <c r="A12" s="90" t="s">
        <v>759</v>
      </c>
      <c r="B12" s="96">
        <v>145000</v>
      </c>
      <c r="C12" s="97">
        <v>75000</v>
      </c>
      <c r="D12" s="97">
        <v>150000</v>
      </c>
      <c r="E12" s="98">
        <v>75000</v>
      </c>
      <c r="F12" s="98">
        <v>168000</v>
      </c>
      <c r="G12" s="98">
        <v>366972</v>
      </c>
      <c r="H12" s="97">
        <v>176960</v>
      </c>
      <c r="I12" s="97">
        <v>-301784</v>
      </c>
      <c r="J12" s="98">
        <v>432686</v>
      </c>
      <c r="K12" s="97">
        <v>300000</v>
      </c>
      <c r="L12" s="97">
        <f>-235000-258057</f>
        <v>-493057</v>
      </c>
      <c r="M12" s="97" t="e">
        <f>#N/A</f>
        <v>#N/A</v>
      </c>
      <c r="N12" s="97">
        <v>300000</v>
      </c>
      <c r="O12" s="97">
        <v>-390000</v>
      </c>
      <c r="P12" s="97">
        <v>88273.7</v>
      </c>
      <c r="Q12" s="97">
        <v>400000</v>
      </c>
      <c r="R12" s="97">
        <v>-383000</v>
      </c>
      <c r="S12" s="97">
        <f t="shared" si="0"/>
        <v>105273.70000000001</v>
      </c>
      <c r="T12" s="97">
        <v>400000</v>
      </c>
      <c r="U12" s="97">
        <v>-383000</v>
      </c>
      <c r="V12" s="97">
        <f t="shared" si="1"/>
        <v>122273.70000000001</v>
      </c>
      <c r="W12" s="97">
        <v>400000</v>
      </c>
      <c r="X12" s="97">
        <v>-383000</v>
      </c>
      <c r="Y12" s="97">
        <f t="shared" si="2"/>
        <v>139273.70000000001</v>
      </c>
      <c r="Z12" s="97">
        <v>400000</v>
      </c>
      <c r="AA12" s="97">
        <v>-459000</v>
      </c>
      <c r="AB12" s="97">
        <v>465437</v>
      </c>
      <c r="AC12" s="97">
        <v>425000</v>
      </c>
      <c r="AD12" s="97">
        <v>-565000</v>
      </c>
      <c r="AE12" s="97">
        <f t="shared" si="3"/>
        <v>325437</v>
      </c>
      <c r="AF12" s="97">
        <v>425000</v>
      </c>
      <c r="AG12" s="97"/>
      <c r="AH12" s="97">
        <f t="shared" si="4"/>
        <v>750437</v>
      </c>
    </row>
    <row r="13" spans="1:34" x14ac:dyDescent="0.25">
      <c r="A13" s="125" t="s">
        <v>760</v>
      </c>
      <c r="B13" s="126">
        <v>0</v>
      </c>
      <c r="C13" s="126">
        <v>0</v>
      </c>
      <c r="D13" s="126">
        <v>129000</v>
      </c>
      <c r="E13" s="127">
        <v>0</v>
      </c>
      <c r="F13" s="127">
        <v>0</v>
      </c>
      <c r="G13" s="127">
        <v>412216.46</v>
      </c>
      <c r="H13" s="126">
        <v>0</v>
      </c>
      <c r="I13" s="126">
        <v>0</v>
      </c>
      <c r="J13" s="127">
        <v>412657</v>
      </c>
      <c r="K13" s="126">
        <v>0</v>
      </c>
      <c r="L13" s="126">
        <v>0</v>
      </c>
      <c r="M13" s="126" t="e">
        <f>#N/A</f>
        <v>#N/A</v>
      </c>
      <c r="N13" s="126">
        <v>0</v>
      </c>
      <c r="O13" s="126">
        <v>0</v>
      </c>
      <c r="P13" s="126">
        <v>413511.92</v>
      </c>
      <c r="Q13" s="126">
        <v>0</v>
      </c>
      <c r="R13" s="126">
        <v>0</v>
      </c>
      <c r="S13" s="126">
        <f t="shared" si="0"/>
        <v>413511.92</v>
      </c>
      <c r="T13" s="126"/>
      <c r="U13" s="126">
        <v>0</v>
      </c>
      <c r="V13" s="126">
        <f t="shared" si="1"/>
        <v>413511.92</v>
      </c>
      <c r="W13" s="126"/>
      <c r="X13" s="126">
        <v>0</v>
      </c>
      <c r="Y13" s="126">
        <f t="shared" si="2"/>
        <v>413511.92</v>
      </c>
      <c r="Z13" s="126"/>
      <c r="AA13" s="126">
        <v>0</v>
      </c>
      <c r="AB13" s="126">
        <v>445049</v>
      </c>
      <c r="AC13" s="126"/>
      <c r="AD13" s="126">
        <v>0</v>
      </c>
      <c r="AE13" s="126">
        <f t="shared" si="3"/>
        <v>445049</v>
      </c>
      <c r="AF13" s="126"/>
      <c r="AG13" s="126"/>
      <c r="AH13" s="126">
        <f t="shared" si="4"/>
        <v>445049</v>
      </c>
    </row>
    <row r="14" spans="1:34" x14ac:dyDescent="0.25">
      <c r="A14" s="99" t="s">
        <v>761</v>
      </c>
      <c r="B14" s="96">
        <v>1000</v>
      </c>
      <c r="C14" s="97">
        <v>1000</v>
      </c>
      <c r="D14" s="97">
        <v>2000</v>
      </c>
      <c r="E14" s="98">
        <v>2000</v>
      </c>
      <c r="F14" s="98">
        <v>2000</v>
      </c>
      <c r="G14" s="98">
        <v>32687.360000000001</v>
      </c>
      <c r="H14" s="97">
        <v>2000</v>
      </c>
      <c r="I14" s="97">
        <v>0</v>
      </c>
      <c r="J14" s="98">
        <v>36796</v>
      </c>
      <c r="K14" s="97">
        <v>2000</v>
      </c>
      <c r="L14" s="97">
        <v>0</v>
      </c>
      <c r="M14" s="97" t="e">
        <f>#N/A</f>
        <v>#N/A</v>
      </c>
      <c r="N14" s="97">
        <v>17000</v>
      </c>
      <c r="O14" s="97">
        <v>-53000</v>
      </c>
      <c r="P14" s="97">
        <v>2890.53</v>
      </c>
      <c r="Q14" s="97">
        <v>75000</v>
      </c>
      <c r="R14" s="97">
        <v>0</v>
      </c>
      <c r="S14" s="97">
        <f t="shared" si="0"/>
        <v>77890.53</v>
      </c>
      <c r="T14" s="97">
        <v>75000</v>
      </c>
      <c r="U14" s="97">
        <v>0</v>
      </c>
      <c r="V14" s="97">
        <f t="shared" si="1"/>
        <v>152890.53</v>
      </c>
      <c r="W14" s="97">
        <v>75000</v>
      </c>
      <c r="X14" s="97">
        <v>0</v>
      </c>
      <c r="Y14" s="97">
        <f t="shared" si="2"/>
        <v>227890.53</v>
      </c>
      <c r="Z14" s="97">
        <v>75000</v>
      </c>
      <c r="AA14" s="97">
        <v>0</v>
      </c>
      <c r="AB14" s="97">
        <v>287518</v>
      </c>
      <c r="AC14" s="97">
        <v>75000</v>
      </c>
      <c r="AD14" s="97">
        <v>-184000</v>
      </c>
      <c r="AE14" s="97">
        <f t="shared" si="3"/>
        <v>178518</v>
      </c>
      <c r="AF14" s="97">
        <v>75000</v>
      </c>
      <c r="AG14" s="97"/>
      <c r="AH14" s="97">
        <f t="shared" si="4"/>
        <v>253518</v>
      </c>
    </row>
    <row r="15" spans="1:34" x14ac:dyDescent="0.25">
      <c r="A15" s="125" t="s">
        <v>762</v>
      </c>
      <c r="B15" s="126">
        <v>0</v>
      </c>
      <c r="C15" s="126">
        <v>0</v>
      </c>
      <c r="D15" s="126">
        <v>10000</v>
      </c>
      <c r="E15" s="127">
        <v>0</v>
      </c>
      <c r="F15" s="127">
        <v>0</v>
      </c>
      <c r="G15" s="127">
        <v>45082</v>
      </c>
      <c r="H15" s="126">
        <v>0</v>
      </c>
      <c r="I15" s="126">
        <v>0</v>
      </c>
      <c r="J15" s="127">
        <v>45137</v>
      </c>
      <c r="K15" s="126">
        <v>0</v>
      </c>
      <c r="L15" s="126">
        <v>0</v>
      </c>
      <c r="M15" s="126" t="e">
        <f>#N/A</f>
        <v>#N/A</v>
      </c>
      <c r="N15" s="126">
        <v>0</v>
      </c>
      <c r="O15" s="126">
        <v>0</v>
      </c>
      <c r="P15" s="126">
        <v>45228.35</v>
      </c>
      <c r="Q15" s="126">
        <v>0</v>
      </c>
      <c r="R15" s="126">
        <v>0</v>
      </c>
      <c r="S15" s="126">
        <f t="shared" si="0"/>
        <v>45228.35</v>
      </c>
      <c r="T15" s="126"/>
      <c r="U15" s="126">
        <v>0</v>
      </c>
      <c r="V15" s="126">
        <f t="shared" si="1"/>
        <v>45228.35</v>
      </c>
      <c r="W15" s="126"/>
      <c r="X15" s="126">
        <v>0</v>
      </c>
      <c r="Y15" s="126">
        <f t="shared" si="2"/>
        <v>45228.35</v>
      </c>
      <c r="Z15" s="126"/>
      <c r="AA15" s="126">
        <v>0</v>
      </c>
      <c r="AB15" s="126">
        <v>48652</v>
      </c>
      <c r="AC15" s="126"/>
      <c r="AD15" s="126">
        <v>0</v>
      </c>
      <c r="AE15" s="126">
        <f>+AB15+AC15+AD15</f>
        <v>48652</v>
      </c>
      <c r="AF15" s="126"/>
      <c r="AG15" s="126"/>
      <c r="AH15" s="126">
        <f t="shared" si="4"/>
        <v>48652</v>
      </c>
    </row>
    <row r="16" spans="1:34" x14ac:dyDescent="0.25">
      <c r="A16" s="90" t="s">
        <v>763</v>
      </c>
      <c r="B16" s="96">
        <v>0</v>
      </c>
      <c r="C16" s="97">
        <v>0</v>
      </c>
      <c r="D16" s="97">
        <v>0</v>
      </c>
      <c r="E16" s="98">
        <v>0</v>
      </c>
      <c r="F16" s="98">
        <v>0</v>
      </c>
      <c r="G16" s="98">
        <v>6738</v>
      </c>
      <c r="H16" s="97">
        <v>0</v>
      </c>
      <c r="I16" s="97">
        <v>0</v>
      </c>
      <c r="J16" s="98">
        <v>21773</v>
      </c>
      <c r="K16" s="97">
        <v>15000</v>
      </c>
      <c r="L16" s="97">
        <v>0</v>
      </c>
      <c r="M16" s="97" t="e">
        <f>#N/A</f>
        <v>#N/A</v>
      </c>
      <c r="N16" s="97">
        <v>15000</v>
      </c>
      <c r="O16" s="97">
        <v>0</v>
      </c>
      <c r="P16" s="97">
        <v>51866.82</v>
      </c>
      <c r="Q16" s="97">
        <v>15000</v>
      </c>
      <c r="R16" s="97">
        <v>0</v>
      </c>
      <c r="S16" s="97">
        <f t="shared" si="0"/>
        <v>66866.820000000007</v>
      </c>
      <c r="T16" s="97">
        <v>15000</v>
      </c>
      <c r="U16" s="97">
        <v>0</v>
      </c>
      <c r="V16" s="97">
        <f t="shared" si="1"/>
        <v>81866.820000000007</v>
      </c>
      <c r="W16" s="97">
        <v>15000</v>
      </c>
      <c r="X16" s="97">
        <v>0</v>
      </c>
      <c r="Y16" s="97">
        <f t="shared" si="2"/>
        <v>96866.82</v>
      </c>
      <c r="Z16" s="97">
        <v>15000</v>
      </c>
      <c r="AA16" s="97">
        <v>0</v>
      </c>
      <c r="AB16" s="97">
        <v>4300</v>
      </c>
      <c r="AC16" s="97">
        <v>17250</v>
      </c>
      <c r="AD16" s="97">
        <v>0</v>
      </c>
      <c r="AE16" s="97">
        <f t="shared" si="3"/>
        <v>21550</v>
      </c>
      <c r="AF16" s="97">
        <v>17250</v>
      </c>
      <c r="AG16" s="97"/>
      <c r="AH16" s="97">
        <f t="shared" si="4"/>
        <v>38800</v>
      </c>
    </row>
    <row r="17" spans="1:34" x14ac:dyDescent="0.25">
      <c r="A17" s="125" t="s">
        <v>764</v>
      </c>
      <c r="B17" s="126">
        <v>190647</v>
      </c>
      <c r="C17" s="126">
        <v>190000</v>
      </c>
      <c r="D17" s="126">
        <v>200000</v>
      </c>
      <c r="E17" s="127">
        <v>0</v>
      </c>
      <c r="F17" s="127">
        <v>0</v>
      </c>
      <c r="G17" s="127">
        <v>347781</v>
      </c>
      <c r="H17" s="126">
        <v>0</v>
      </c>
      <c r="I17" s="126">
        <v>-72151</v>
      </c>
      <c r="J17" s="127">
        <v>269.19</v>
      </c>
      <c r="K17" s="126">
        <v>0</v>
      </c>
      <c r="L17" s="126">
        <v>0</v>
      </c>
      <c r="M17" s="126" t="e">
        <f>#N/A</f>
        <v>#N/A</v>
      </c>
      <c r="N17" s="126">
        <v>0</v>
      </c>
      <c r="O17" s="126">
        <v>0</v>
      </c>
      <c r="P17" s="126">
        <v>245.53</v>
      </c>
      <c r="Q17" s="126">
        <v>0</v>
      </c>
      <c r="R17" s="126">
        <v>0</v>
      </c>
      <c r="S17" s="126">
        <f t="shared" si="0"/>
        <v>245.53</v>
      </c>
      <c r="T17" s="126"/>
      <c r="U17" s="126">
        <v>0</v>
      </c>
      <c r="V17" s="126">
        <f t="shared" si="1"/>
        <v>245.53</v>
      </c>
      <c r="W17" s="126"/>
      <c r="X17" s="126">
        <v>0</v>
      </c>
      <c r="Y17" s="126">
        <f t="shared" si="2"/>
        <v>245.53</v>
      </c>
      <c r="Z17" s="126"/>
      <c r="AA17" s="126">
        <v>0</v>
      </c>
      <c r="AB17" s="126">
        <v>259.26</v>
      </c>
      <c r="AC17" s="126"/>
      <c r="AD17" s="126">
        <v>0</v>
      </c>
      <c r="AE17" s="126">
        <f t="shared" si="3"/>
        <v>259.26</v>
      </c>
      <c r="AF17" s="126"/>
      <c r="AG17" s="126"/>
      <c r="AH17" s="126">
        <f t="shared" si="4"/>
        <v>259.26</v>
      </c>
    </row>
    <row r="18" spans="1:34" x14ac:dyDescent="0.25">
      <c r="A18" s="90" t="s">
        <v>1333</v>
      </c>
      <c r="B18" s="96">
        <v>0</v>
      </c>
      <c r="C18" s="97">
        <v>5000</v>
      </c>
      <c r="D18" s="97">
        <v>5000</v>
      </c>
      <c r="E18" s="98">
        <v>0</v>
      </c>
      <c r="F18" s="98">
        <v>0</v>
      </c>
      <c r="G18" s="98">
        <v>20440</v>
      </c>
      <c r="H18" s="97">
        <v>0</v>
      </c>
      <c r="I18" s="97">
        <v>0</v>
      </c>
      <c r="J18" s="98">
        <v>20523</v>
      </c>
      <c r="K18" s="97">
        <v>0</v>
      </c>
      <c r="L18" s="97">
        <v>0</v>
      </c>
      <c r="M18" s="97" t="e">
        <f>#N/A</f>
        <v>#N/A</v>
      </c>
      <c r="N18" s="97">
        <v>0</v>
      </c>
      <c r="O18" s="97">
        <v>0</v>
      </c>
      <c r="P18" s="97">
        <v>20566.23</v>
      </c>
      <c r="Q18" s="97">
        <v>0</v>
      </c>
      <c r="R18" s="97">
        <v>0</v>
      </c>
      <c r="S18" s="97">
        <f t="shared" si="0"/>
        <v>20566.23</v>
      </c>
      <c r="T18" s="97"/>
      <c r="U18" s="97">
        <v>0</v>
      </c>
      <c r="V18" s="97">
        <f t="shared" si="1"/>
        <v>20566.23</v>
      </c>
      <c r="W18" s="97"/>
      <c r="X18" s="97">
        <v>0</v>
      </c>
      <c r="Y18" s="97">
        <f t="shared" si="2"/>
        <v>20566.23</v>
      </c>
      <c r="Z18" s="97"/>
      <c r="AA18" s="97">
        <v>0</v>
      </c>
      <c r="AB18" s="97">
        <v>22138</v>
      </c>
      <c r="AC18" s="97"/>
      <c r="AD18" s="97">
        <v>0</v>
      </c>
      <c r="AE18" s="97">
        <f t="shared" si="3"/>
        <v>22138</v>
      </c>
      <c r="AF18" s="97"/>
      <c r="AG18" s="97"/>
      <c r="AH18" s="97">
        <f t="shared" si="4"/>
        <v>22138</v>
      </c>
    </row>
    <row r="19" spans="1:34" x14ac:dyDescent="0.25">
      <c r="A19" s="125" t="s">
        <v>982</v>
      </c>
      <c r="B19" s="126">
        <v>115000</v>
      </c>
      <c r="C19" s="126">
        <v>115000</v>
      </c>
      <c r="D19" s="126">
        <v>0</v>
      </c>
      <c r="E19" s="127">
        <v>0</v>
      </c>
      <c r="F19" s="127">
        <v>0</v>
      </c>
      <c r="G19" s="127">
        <v>941393</v>
      </c>
      <c r="H19" s="126">
        <v>0</v>
      </c>
      <c r="I19" s="126">
        <v>-75000</v>
      </c>
      <c r="J19" s="127">
        <v>868161</v>
      </c>
      <c r="K19" s="126">
        <v>0</v>
      </c>
      <c r="L19" s="126">
        <v>0</v>
      </c>
      <c r="M19" s="126" t="e">
        <f>#N/A</f>
        <v>#N/A</v>
      </c>
      <c r="N19" s="126">
        <v>0</v>
      </c>
      <c r="O19" s="126">
        <v>-868000</v>
      </c>
      <c r="P19" s="126">
        <v>475107.72</v>
      </c>
      <c r="Q19" s="126">
        <v>0</v>
      </c>
      <c r="R19" s="126">
        <v>0</v>
      </c>
      <c r="S19" s="126">
        <f t="shared" si="0"/>
        <v>475107.72</v>
      </c>
      <c r="T19" s="126"/>
      <c r="U19" s="126">
        <v>0</v>
      </c>
      <c r="V19" s="126">
        <f t="shared" si="1"/>
        <v>475107.72</v>
      </c>
      <c r="W19" s="126"/>
      <c r="X19" s="126">
        <v>0</v>
      </c>
      <c r="Y19" s="126">
        <f t="shared" si="2"/>
        <v>475107.72</v>
      </c>
      <c r="Z19" s="126"/>
      <c r="AA19" s="126">
        <v>0</v>
      </c>
      <c r="AB19" s="126">
        <v>51844</v>
      </c>
      <c r="AC19" s="126"/>
      <c r="AD19" s="126">
        <v>0</v>
      </c>
      <c r="AE19" s="126">
        <f t="shared" si="3"/>
        <v>51844</v>
      </c>
      <c r="AF19" s="126"/>
      <c r="AG19" s="126"/>
      <c r="AH19" s="126">
        <f t="shared" si="4"/>
        <v>51844</v>
      </c>
    </row>
    <row r="20" spans="1:34" x14ac:dyDescent="0.25">
      <c r="A20" s="90" t="s">
        <v>1042</v>
      </c>
      <c r="B20" s="96">
        <v>10000</v>
      </c>
      <c r="C20" s="97">
        <v>10000</v>
      </c>
      <c r="D20" s="97">
        <v>90000</v>
      </c>
      <c r="E20" s="98">
        <v>75000</v>
      </c>
      <c r="F20" s="98">
        <v>40000</v>
      </c>
      <c r="G20" s="98">
        <v>133781</v>
      </c>
      <c r="H20" s="97">
        <v>0</v>
      </c>
      <c r="I20" s="97">
        <v>0</v>
      </c>
      <c r="J20" s="98">
        <v>156324</v>
      </c>
      <c r="K20" s="97">
        <v>75000</v>
      </c>
      <c r="L20" s="97">
        <v>-220000</v>
      </c>
      <c r="M20" s="97" t="e">
        <f>#N/A</f>
        <v>#N/A</v>
      </c>
      <c r="N20" s="97">
        <v>75000</v>
      </c>
      <c r="O20" s="97">
        <v>0</v>
      </c>
      <c r="P20" s="97">
        <v>86554.35</v>
      </c>
      <c r="Q20" s="97">
        <v>125000</v>
      </c>
      <c r="R20" s="97">
        <v>-70000</v>
      </c>
      <c r="S20" s="97">
        <f t="shared" si="0"/>
        <v>141554.35</v>
      </c>
      <c r="T20" s="97">
        <v>125000</v>
      </c>
      <c r="U20" s="97">
        <v>-70000</v>
      </c>
      <c r="V20" s="97">
        <f t="shared" si="1"/>
        <v>196554.34999999998</v>
      </c>
      <c r="W20" s="97">
        <v>125000</v>
      </c>
      <c r="X20" s="97">
        <v>-70000</v>
      </c>
      <c r="Y20" s="97">
        <f t="shared" si="2"/>
        <v>251554.34999999998</v>
      </c>
      <c r="Z20" s="97">
        <v>125000</v>
      </c>
      <c r="AA20" s="97">
        <v>-190000</v>
      </c>
      <c r="AB20" s="97">
        <v>103687</v>
      </c>
      <c r="AC20" s="97">
        <v>100000</v>
      </c>
      <c r="AD20" s="97">
        <v>-40000</v>
      </c>
      <c r="AE20" s="97">
        <f t="shared" si="3"/>
        <v>163687</v>
      </c>
      <c r="AF20" s="97">
        <v>100000</v>
      </c>
      <c r="AG20" s="97"/>
      <c r="AH20" s="97">
        <f t="shared" si="4"/>
        <v>263687</v>
      </c>
    </row>
    <row r="21" spans="1:34" x14ac:dyDescent="0.25">
      <c r="A21" s="125" t="s">
        <v>765</v>
      </c>
      <c r="B21" s="126">
        <v>0</v>
      </c>
      <c r="C21" s="126">
        <v>0</v>
      </c>
      <c r="D21" s="126">
        <v>0</v>
      </c>
      <c r="E21" s="127">
        <v>0</v>
      </c>
      <c r="F21" s="127">
        <v>0</v>
      </c>
      <c r="G21" s="127">
        <v>280004</v>
      </c>
      <c r="H21" s="126">
        <v>0</v>
      </c>
      <c r="I21" s="126">
        <v>-144652</v>
      </c>
      <c r="J21" s="127">
        <v>279697</v>
      </c>
      <c r="K21" s="126">
        <v>0</v>
      </c>
      <c r="L21" s="126">
        <v>0</v>
      </c>
      <c r="M21" s="126" t="e">
        <f>#N/A</f>
        <v>#N/A</v>
      </c>
      <c r="N21" s="126">
        <v>0</v>
      </c>
      <c r="O21" s="126">
        <v>-60000</v>
      </c>
      <c r="P21" s="126">
        <v>280271.71000000002</v>
      </c>
      <c r="Q21" s="126">
        <v>0</v>
      </c>
      <c r="R21" s="126">
        <v>0</v>
      </c>
      <c r="S21" s="126">
        <f t="shared" si="0"/>
        <v>280271.71000000002</v>
      </c>
      <c r="T21" s="126"/>
      <c r="U21" s="126">
        <v>0</v>
      </c>
      <c r="V21" s="126">
        <f t="shared" si="1"/>
        <v>280271.71000000002</v>
      </c>
      <c r="W21" s="126"/>
      <c r="X21" s="126">
        <v>0</v>
      </c>
      <c r="Y21" s="126">
        <f t="shared" si="2"/>
        <v>280271.71000000002</v>
      </c>
      <c r="Z21" s="126"/>
      <c r="AA21" s="126">
        <v>0</v>
      </c>
      <c r="AB21" s="126">
        <v>287358</v>
      </c>
      <c r="AC21" s="126"/>
      <c r="AD21" s="126">
        <v>-20000</v>
      </c>
      <c r="AE21" s="126">
        <f t="shared" si="3"/>
        <v>267358</v>
      </c>
      <c r="AF21" s="126"/>
      <c r="AG21" s="126"/>
      <c r="AH21" s="126">
        <f t="shared" si="4"/>
        <v>267358</v>
      </c>
    </row>
    <row r="22" spans="1:34" x14ac:dyDescent="0.25">
      <c r="A22" s="90" t="s">
        <v>766</v>
      </c>
      <c r="B22" s="96">
        <v>0</v>
      </c>
      <c r="C22" s="96">
        <v>0</v>
      </c>
      <c r="D22" s="96">
        <v>5000</v>
      </c>
      <c r="E22" s="98">
        <v>0</v>
      </c>
      <c r="F22" s="98">
        <v>0</v>
      </c>
      <c r="G22" s="98">
        <v>25451</v>
      </c>
      <c r="H22" s="97">
        <v>0</v>
      </c>
      <c r="I22" s="97">
        <v>0</v>
      </c>
      <c r="J22" s="98">
        <v>23772</v>
      </c>
      <c r="K22" s="97">
        <v>0</v>
      </c>
      <c r="L22" s="97">
        <v>-23772</v>
      </c>
      <c r="M22" s="97">
        <f>+K22+J22+L22</f>
        <v>0</v>
      </c>
      <c r="N22" s="97">
        <v>0</v>
      </c>
      <c r="O22" s="97">
        <v>0</v>
      </c>
      <c r="P22" s="97">
        <v>976</v>
      </c>
      <c r="Q22" s="97">
        <v>5000</v>
      </c>
      <c r="R22" s="97">
        <v>-25000</v>
      </c>
      <c r="S22" s="97">
        <f t="shared" si="0"/>
        <v>-19024</v>
      </c>
      <c r="T22" s="97">
        <v>5000</v>
      </c>
      <c r="U22" s="97">
        <v>-25000</v>
      </c>
      <c r="V22" s="97">
        <f t="shared" si="1"/>
        <v>-39024</v>
      </c>
      <c r="W22" s="97">
        <v>5000</v>
      </c>
      <c r="X22" s="97">
        <v>-25000</v>
      </c>
      <c r="Y22" s="97">
        <f t="shared" si="2"/>
        <v>-59024</v>
      </c>
      <c r="Z22" s="97">
        <v>5000</v>
      </c>
      <c r="AA22" s="97">
        <v>0</v>
      </c>
      <c r="AB22" s="97">
        <v>33118</v>
      </c>
      <c r="AC22" s="97">
        <v>5000</v>
      </c>
      <c r="AD22" s="97">
        <v>-5000</v>
      </c>
      <c r="AE22" s="97">
        <f t="shared" si="3"/>
        <v>33118</v>
      </c>
      <c r="AF22" s="97">
        <v>5000</v>
      </c>
      <c r="AG22" s="97"/>
      <c r="AH22" s="97">
        <f t="shared" si="4"/>
        <v>38118</v>
      </c>
    </row>
    <row r="23" spans="1:34" x14ac:dyDescent="0.25">
      <c r="A23" s="97" t="s">
        <v>352</v>
      </c>
      <c r="B23" s="96"/>
      <c r="C23" s="96"/>
      <c r="D23" s="96"/>
      <c r="E23" s="98"/>
      <c r="F23" s="98"/>
      <c r="G23" s="98"/>
      <c r="H23" s="97"/>
      <c r="I23" s="97"/>
      <c r="J23" s="98"/>
      <c r="K23" s="97"/>
      <c r="L23" s="97"/>
      <c r="M23" s="97"/>
      <c r="N23" s="97"/>
      <c r="O23" s="97"/>
      <c r="P23" s="97"/>
      <c r="Q23" s="97">
        <v>10000</v>
      </c>
      <c r="R23" s="97"/>
      <c r="S23" s="97"/>
      <c r="T23" s="97">
        <v>10000</v>
      </c>
      <c r="U23" s="97"/>
      <c r="V23" s="97"/>
      <c r="W23" s="97">
        <v>10000</v>
      </c>
      <c r="X23" s="97"/>
      <c r="Y23" s="97"/>
      <c r="Z23" s="97">
        <v>10000</v>
      </c>
      <c r="AA23" s="97"/>
      <c r="AB23" s="97">
        <v>10089</v>
      </c>
      <c r="AC23" s="97">
        <v>10000</v>
      </c>
      <c r="AD23" s="97">
        <v>-10000</v>
      </c>
      <c r="AE23" s="97">
        <f t="shared" si="3"/>
        <v>10089</v>
      </c>
      <c r="AF23" s="97">
        <v>10000</v>
      </c>
      <c r="AG23" s="97"/>
      <c r="AH23" s="97">
        <f t="shared" si="4"/>
        <v>20089</v>
      </c>
    </row>
    <row r="24" spans="1:34" x14ac:dyDescent="0.25">
      <c r="A24" s="125" t="s">
        <v>1748</v>
      </c>
      <c r="B24" s="126">
        <v>0</v>
      </c>
      <c r="C24" s="126">
        <v>0</v>
      </c>
      <c r="D24" s="126">
        <v>0</v>
      </c>
      <c r="E24" s="126">
        <v>0</v>
      </c>
      <c r="F24" s="126">
        <v>0</v>
      </c>
      <c r="G24" s="126">
        <v>0</v>
      </c>
      <c r="H24" s="126">
        <v>0</v>
      </c>
      <c r="I24" s="126">
        <v>0</v>
      </c>
      <c r="J24" s="126">
        <v>0</v>
      </c>
      <c r="K24" s="126">
        <v>0</v>
      </c>
      <c r="L24" s="126">
        <v>0</v>
      </c>
      <c r="M24" s="126">
        <f>+K24+J24+L24</f>
        <v>0</v>
      </c>
      <c r="N24" s="126">
        <v>10000</v>
      </c>
      <c r="O24" s="126">
        <v>0</v>
      </c>
      <c r="P24" s="126">
        <v>10016.35</v>
      </c>
      <c r="Q24" s="126">
        <v>20000</v>
      </c>
      <c r="R24" s="126">
        <v>0</v>
      </c>
      <c r="S24" s="126">
        <f>+P24+Q24+R24</f>
        <v>30016.35</v>
      </c>
      <c r="T24" s="126">
        <v>20000</v>
      </c>
      <c r="U24" s="126">
        <v>0</v>
      </c>
      <c r="V24" s="126">
        <f t="shared" ref="V24:V25" si="5">+S24+T24+U24</f>
        <v>50016.35</v>
      </c>
      <c r="W24" s="126">
        <v>15000</v>
      </c>
      <c r="X24" s="126">
        <v>0</v>
      </c>
      <c r="Y24" s="126">
        <f t="shared" si="2"/>
        <v>65016.35</v>
      </c>
      <c r="Z24" s="126">
        <v>5000</v>
      </c>
      <c r="AA24" s="126">
        <v>0</v>
      </c>
      <c r="AB24" s="126">
        <v>126690</v>
      </c>
      <c r="AC24" s="126">
        <f>15000-10000</f>
        <v>5000</v>
      </c>
      <c r="AD24" s="126">
        <v>0</v>
      </c>
      <c r="AE24" s="126">
        <f t="shared" si="3"/>
        <v>131690</v>
      </c>
      <c r="AF24" s="126">
        <f>15000-10000</f>
        <v>5000</v>
      </c>
      <c r="AG24" s="126"/>
      <c r="AH24" s="126">
        <f t="shared" si="4"/>
        <v>136690</v>
      </c>
    </row>
    <row r="25" spans="1:34" ht="20.25" x14ac:dyDescent="0.55000000000000004">
      <c r="A25" s="90" t="s">
        <v>767</v>
      </c>
      <c r="B25" s="96">
        <v>135000</v>
      </c>
      <c r="C25" s="100">
        <v>120000</v>
      </c>
      <c r="D25" s="100">
        <v>150000</v>
      </c>
      <c r="E25" s="101">
        <v>525000</v>
      </c>
      <c r="F25" s="101">
        <v>0</v>
      </c>
      <c r="G25" s="101">
        <v>985580</v>
      </c>
      <c r="H25" s="102">
        <v>185000</v>
      </c>
      <c r="I25" s="102">
        <v>-956237</v>
      </c>
      <c r="J25" s="101">
        <v>611343</v>
      </c>
      <c r="K25" s="102">
        <v>400000</v>
      </c>
      <c r="L25" s="102">
        <f>-300049-55428-38000</f>
        <v>-393477</v>
      </c>
      <c r="M25" s="103">
        <f>+J25+K25+L25</f>
        <v>617866</v>
      </c>
      <c r="N25" s="102">
        <v>400000</v>
      </c>
      <c r="O25" s="102">
        <v>-785000</v>
      </c>
      <c r="P25" s="103">
        <v>1121332.76</v>
      </c>
      <c r="Q25" s="102">
        <v>450000</v>
      </c>
      <c r="R25" s="103">
        <f>-1109309+545500</f>
        <v>-563809</v>
      </c>
      <c r="S25" s="103">
        <f>+P25+Q25+R25</f>
        <v>1007523.76</v>
      </c>
      <c r="T25" s="102">
        <v>450000</v>
      </c>
      <c r="U25" s="103">
        <f>-1109309+545500</f>
        <v>-563809</v>
      </c>
      <c r="V25" s="103">
        <f t="shared" si="5"/>
        <v>893714.76</v>
      </c>
      <c r="W25" s="102">
        <v>545000</v>
      </c>
      <c r="X25" s="103">
        <f>-1109309+545500</f>
        <v>-563809</v>
      </c>
      <c r="Y25" s="103">
        <f t="shared" si="2"/>
        <v>874905.76</v>
      </c>
      <c r="Z25" s="102">
        <v>545000</v>
      </c>
      <c r="AA25" s="103">
        <v>-250000</v>
      </c>
      <c r="AB25" s="103">
        <v>1532493</v>
      </c>
      <c r="AC25" s="102">
        <v>595000</v>
      </c>
      <c r="AD25" s="103">
        <v>-1045021</v>
      </c>
      <c r="AE25" s="103">
        <f t="shared" si="3"/>
        <v>1082472</v>
      </c>
      <c r="AF25" s="102">
        <v>595000</v>
      </c>
      <c r="AG25" s="103">
        <v>0</v>
      </c>
      <c r="AH25" s="103">
        <f t="shared" si="4"/>
        <v>1677472</v>
      </c>
    </row>
    <row r="26" spans="1:34" x14ac:dyDescent="0.25">
      <c r="A26" s="125" t="s">
        <v>1750</v>
      </c>
      <c r="B26" s="126"/>
      <c r="C26" s="126" t="e">
        <f>#N/A</f>
        <v>#N/A</v>
      </c>
      <c r="D26" s="126" t="e">
        <f>#N/A</f>
        <v>#N/A</v>
      </c>
      <c r="E26" s="126" t="e">
        <f>#N/A</f>
        <v>#N/A</v>
      </c>
      <c r="F26" s="126" t="e">
        <f>#N/A</f>
        <v>#N/A</v>
      </c>
      <c r="G26" s="126" t="e">
        <f>#N/A</f>
        <v>#N/A</v>
      </c>
      <c r="H26" s="126" t="e">
        <f>#N/A</f>
        <v>#N/A</v>
      </c>
      <c r="I26" s="126" t="e">
        <f>#N/A</f>
        <v>#N/A</v>
      </c>
      <c r="J26" s="126" t="e">
        <f>#N/A</f>
        <v>#N/A</v>
      </c>
      <c r="K26" s="126" t="e">
        <f>#N/A</f>
        <v>#N/A</v>
      </c>
      <c r="L26" s="126" t="e">
        <f>#N/A</f>
        <v>#N/A</v>
      </c>
      <c r="M26" s="126" t="e">
        <f>#N/A</f>
        <v>#N/A</v>
      </c>
      <c r="N26" s="126">
        <f>SUM(N6:N25)</f>
        <v>1052000</v>
      </c>
      <c r="O26" s="126">
        <f>SUM(O6:O25)</f>
        <v>-2296000</v>
      </c>
      <c r="P26" s="126">
        <f>SUM(P6:P25)</f>
        <v>3670163.9400000004</v>
      </c>
      <c r="Q26" s="126">
        <f t="shared" ref="Q26:W26" si="6">SUM(Q6:Q25)</f>
        <v>1640000</v>
      </c>
      <c r="R26" s="126">
        <f t="shared" si="6"/>
        <v>-1983809</v>
      </c>
      <c r="S26" s="126">
        <f t="shared" si="6"/>
        <v>3316354.9400000004</v>
      </c>
      <c r="T26" s="126">
        <f t="shared" si="6"/>
        <v>1640000</v>
      </c>
      <c r="U26" s="126">
        <f t="shared" si="6"/>
        <v>-1983809</v>
      </c>
      <c r="V26" s="126">
        <f t="shared" si="6"/>
        <v>2962545.9400000004</v>
      </c>
      <c r="W26" s="126">
        <f t="shared" si="6"/>
        <v>1805000</v>
      </c>
      <c r="X26" s="126">
        <f t="shared" ref="X26:AH26" si="7">SUM(X6:X25)</f>
        <v>-1983809</v>
      </c>
      <c r="Y26" s="126">
        <f t="shared" si="7"/>
        <v>2773736.9400000004</v>
      </c>
      <c r="Z26" s="126">
        <f t="shared" si="7"/>
        <v>1870000</v>
      </c>
      <c r="AA26" s="126">
        <f t="shared" si="7"/>
        <v>-1454311</v>
      </c>
      <c r="AB26" s="126">
        <f t="shared" si="7"/>
        <v>4811693.26</v>
      </c>
      <c r="AC26" s="126">
        <f t="shared" si="7"/>
        <v>1937250</v>
      </c>
      <c r="AD26" s="126">
        <f t="shared" si="7"/>
        <v>-2393021</v>
      </c>
      <c r="AE26" s="126">
        <f t="shared" si="7"/>
        <v>4355922.26</v>
      </c>
      <c r="AF26" s="126">
        <f t="shared" si="7"/>
        <v>1937250</v>
      </c>
      <c r="AG26" s="126">
        <f t="shared" si="7"/>
        <v>0</v>
      </c>
      <c r="AH26" s="126">
        <f t="shared" si="7"/>
        <v>6293172.2599999998</v>
      </c>
    </row>
    <row r="27" spans="1:34" x14ac:dyDescent="0.25">
      <c r="A27" s="90"/>
      <c r="B27" s="96"/>
      <c r="C27" s="96"/>
      <c r="D27" s="96"/>
      <c r="E27" s="98"/>
      <c r="F27" s="98"/>
      <c r="G27" s="98"/>
      <c r="H27" s="97"/>
      <c r="I27" s="97"/>
      <c r="J27" s="98"/>
      <c r="K27" s="97"/>
      <c r="L27" s="97"/>
      <c r="M27" s="97"/>
      <c r="N27" s="97"/>
      <c r="O27" s="97"/>
      <c r="P27" s="97"/>
      <c r="Q27" s="97"/>
      <c r="R27" s="97"/>
      <c r="S27" s="97"/>
      <c r="T27" s="97"/>
      <c r="U27" s="97"/>
      <c r="V27" s="97"/>
      <c r="W27" s="97"/>
      <c r="X27" s="97"/>
      <c r="Y27" s="97"/>
      <c r="Z27" s="97"/>
      <c r="AA27" s="97"/>
      <c r="AB27" s="97"/>
      <c r="AC27" s="97"/>
      <c r="AD27" s="97"/>
      <c r="AE27" s="97"/>
      <c r="AF27" s="97"/>
      <c r="AG27" s="97"/>
      <c r="AH27" s="97"/>
    </row>
    <row r="28" spans="1:34" ht="20.25" x14ac:dyDescent="0.55000000000000004">
      <c r="A28" s="125" t="s">
        <v>1641</v>
      </c>
      <c r="B28" s="126"/>
      <c r="C28" s="126"/>
      <c r="D28" s="126"/>
      <c r="E28" s="127"/>
      <c r="F28" s="127"/>
      <c r="G28" s="127"/>
      <c r="H28" s="126"/>
      <c r="I28" s="126"/>
      <c r="J28" s="127">
        <v>289</v>
      </c>
      <c r="K28" s="126">
        <v>0</v>
      </c>
      <c r="L28" s="126">
        <v>0</v>
      </c>
      <c r="M28" s="126">
        <f>+K28+J28+L28</f>
        <v>289</v>
      </c>
      <c r="N28" s="129">
        <v>25000</v>
      </c>
      <c r="O28" s="129">
        <v>0</v>
      </c>
      <c r="P28" s="129">
        <v>13445.82</v>
      </c>
      <c r="Q28" s="129">
        <v>10000</v>
      </c>
      <c r="R28" s="129">
        <v>0</v>
      </c>
      <c r="S28" s="129">
        <f>+P28+Q28+R28</f>
        <v>23445.82</v>
      </c>
      <c r="T28" s="129">
        <v>10000</v>
      </c>
      <c r="U28" s="129">
        <v>0</v>
      </c>
      <c r="V28" s="129">
        <f>+S28+T28+U28</f>
        <v>33445.82</v>
      </c>
      <c r="W28" s="129">
        <v>10000</v>
      </c>
      <c r="X28" s="129">
        <v>0</v>
      </c>
      <c r="Y28" s="129">
        <f>+V28+W28+X28</f>
        <v>43445.82</v>
      </c>
      <c r="Z28" s="129">
        <v>10000</v>
      </c>
      <c r="AA28" s="129">
        <v>0</v>
      </c>
      <c r="AB28" s="129">
        <v>15179</v>
      </c>
      <c r="AC28" s="129">
        <v>10000</v>
      </c>
      <c r="AD28" s="129">
        <v>-10000</v>
      </c>
      <c r="AE28" s="129">
        <f>+AB28+AC28+AD28</f>
        <v>15179</v>
      </c>
      <c r="AF28" s="129">
        <v>10000</v>
      </c>
      <c r="AG28" s="129">
        <v>0</v>
      </c>
      <c r="AH28" s="129">
        <f>+AE28+AF28+AG28</f>
        <v>25179</v>
      </c>
    </row>
    <row r="30" spans="1:34" x14ac:dyDescent="0.25">
      <c r="A30" s="90" t="s">
        <v>1864</v>
      </c>
      <c r="B30" s="96"/>
      <c r="C30" s="96"/>
      <c r="D30" s="96"/>
      <c r="E30" s="98"/>
      <c r="F30" s="98" t="e">
        <f>+F26+F39+F28</f>
        <v>#N/A</v>
      </c>
      <c r="G30" s="98" t="e">
        <f>#N/A</f>
        <v>#N/A</v>
      </c>
      <c r="H30" s="98" t="e">
        <f>#N/A</f>
        <v>#N/A</v>
      </c>
      <c r="I30" s="98" t="e">
        <f>#N/A</f>
        <v>#N/A</v>
      </c>
      <c r="J30" s="98" t="e">
        <f>#N/A</f>
        <v>#N/A</v>
      </c>
      <c r="K30" s="98" t="e">
        <f>#N/A</f>
        <v>#N/A</v>
      </c>
      <c r="L30" s="98" t="e">
        <f>#N/A</f>
        <v>#N/A</v>
      </c>
      <c r="M30" s="98" t="e">
        <f>#N/A</f>
        <v>#N/A</v>
      </c>
      <c r="N30" s="98">
        <f t="shared" ref="N30:P30" si="8">+N26+N28</f>
        <v>1077000</v>
      </c>
      <c r="O30" s="98">
        <f t="shared" si="8"/>
        <v>-2296000</v>
      </c>
      <c r="P30" s="98">
        <f t="shared" si="8"/>
        <v>3683609.7600000002</v>
      </c>
      <c r="Q30" s="98">
        <f t="shared" ref="Q30:W30" si="9">+Q26+Q28</f>
        <v>1650000</v>
      </c>
      <c r="R30" s="98">
        <f t="shared" si="9"/>
        <v>-1983809</v>
      </c>
      <c r="S30" s="98">
        <f t="shared" si="9"/>
        <v>3339800.7600000002</v>
      </c>
      <c r="T30" s="98">
        <f t="shared" si="9"/>
        <v>1650000</v>
      </c>
      <c r="U30" s="98">
        <f t="shared" si="9"/>
        <v>-1983809</v>
      </c>
      <c r="V30" s="98">
        <f t="shared" si="9"/>
        <v>2995991.7600000002</v>
      </c>
      <c r="W30" s="98">
        <f t="shared" si="9"/>
        <v>1815000</v>
      </c>
      <c r="X30" s="98">
        <f t="shared" ref="X30:AH30" si="10">+X26+X28</f>
        <v>-1983809</v>
      </c>
      <c r="Y30" s="98">
        <f t="shared" si="10"/>
        <v>2817182.7600000002</v>
      </c>
      <c r="Z30" s="98">
        <f t="shared" si="10"/>
        <v>1880000</v>
      </c>
      <c r="AA30" s="98">
        <f t="shared" si="10"/>
        <v>-1454311</v>
      </c>
      <c r="AB30" s="98">
        <f t="shared" si="10"/>
        <v>4826872.26</v>
      </c>
      <c r="AC30" s="98">
        <f t="shared" si="10"/>
        <v>1947250</v>
      </c>
      <c r="AD30" s="98">
        <f t="shared" si="10"/>
        <v>-2403021</v>
      </c>
      <c r="AE30" s="98">
        <f t="shared" si="10"/>
        <v>4371101.26</v>
      </c>
      <c r="AF30" s="98">
        <f t="shared" si="10"/>
        <v>1947250</v>
      </c>
      <c r="AG30" s="98">
        <f t="shared" si="10"/>
        <v>0</v>
      </c>
      <c r="AH30" s="98">
        <f t="shared" si="10"/>
        <v>6318351.2599999998</v>
      </c>
    </row>
    <row r="31" spans="1:34" x14ac:dyDescent="0.25">
      <c r="A31" s="90"/>
      <c r="B31" s="96"/>
      <c r="C31" s="96"/>
      <c r="D31" s="96"/>
      <c r="E31" s="98"/>
      <c r="F31" s="98"/>
      <c r="G31" s="98"/>
      <c r="H31" s="97"/>
      <c r="I31" s="97"/>
      <c r="J31" s="98"/>
      <c r="K31" s="97"/>
      <c r="L31" s="97"/>
      <c r="M31" s="97"/>
      <c r="N31" s="97"/>
      <c r="O31" s="97"/>
      <c r="P31" s="97"/>
      <c r="Q31" s="97"/>
      <c r="R31" s="97"/>
      <c r="S31" s="97"/>
      <c r="T31" s="97"/>
      <c r="U31" s="97"/>
      <c r="V31" s="97"/>
      <c r="W31" s="97"/>
      <c r="X31" s="97"/>
      <c r="Y31" s="97"/>
      <c r="Z31" s="97"/>
      <c r="AA31" s="97"/>
      <c r="AB31" s="97"/>
      <c r="AC31" s="97"/>
      <c r="AD31" s="97"/>
      <c r="AE31" s="97"/>
      <c r="AF31" s="97"/>
      <c r="AG31" s="97"/>
      <c r="AH31" s="97"/>
    </row>
    <row r="32" spans="1:34" ht="20.25" x14ac:dyDescent="0.55000000000000004">
      <c r="A32" s="125" t="s">
        <v>768</v>
      </c>
      <c r="B32" s="129">
        <v>0</v>
      </c>
      <c r="C32" s="129">
        <v>450000</v>
      </c>
      <c r="D32" s="129">
        <v>0</v>
      </c>
      <c r="E32" s="130">
        <v>500000</v>
      </c>
      <c r="F32" s="130">
        <v>350000</v>
      </c>
      <c r="G32" s="130">
        <v>633301</v>
      </c>
      <c r="H32" s="129">
        <v>225000</v>
      </c>
      <c r="I32" s="129">
        <f>-119000-66434</f>
        <v>-185434</v>
      </c>
      <c r="J32" s="130">
        <v>769090</v>
      </c>
      <c r="K32" s="129">
        <v>25000</v>
      </c>
      <c r="L32" s="129">
        <f>-101000-76247</f>
        <v>-177247</v>
      </c>
      <c r="M32" s="129">
        <f>+J32+K32+L32</f>
        <v>616843</v>
      </c>
      <c r="N32" s="129">
        <v>25000</v>
      </c>
      <c r="O32" s="129">
        <v>-75000</v>
      </c>
      <c r="P32" s="129">
        <v>630476.09</v>
      </c>
      <c r="Q32" s="129">
        <v>300000</v>
      </c>
      <c r="R32" s="129">
        <v>-550000</v>
      </c>
      <c r="S32" s="129">
        <f>+P32+Q32+R32</f>
        <v>380476.08999999997</v>
      </c>
      <c r="T32" s="129">
        <v>350000</v>
      </c>
      <c r="U32" s="129">
        <v>-550000</v>
      </c>
      <c r="V32" s="129">
        <f>+S32+T32+U32</f>
        <v>180476.08999999997</v>
      </c>
      <c r="W32" s="129">
        <v>500000</v>
      </c>
      <c r="X32" s="129">
        <v>-550000</v>
      </c>
      <c r="Y32" s="129">
        <f>+V32+W32+X32</f>
        <v>130476.08999999997</v>
      </c>
      <c r="Z32" s="129">
        <v>500000</v>
      </c>
      <c r="AA32" s="129">
        <v>-298000</v>
      </c>
      <c r="AB32" s="129">
        <v>695710</v>
      </c>
      <c r="AC32" s="129">
        <v>500000</v>
      </c>
      <c r="AD32" s="129">
        <v>-953319</v>
      </c>
      <c r="AE32" s="129">
        <f>+AB32+AC32+AD32</f>
        <v>242391</v>
      </c>
      <c r="AF32" s="129">
        <v>550000</v>
      </c>
      <c r="AG32" s="129">
        <v>0</v>
      </c>
      <c r="AH32" s="129">
        <f>+AE32+AF32+AG32</f>
        <v>792391</v>
      </c>
    </row>
    <row r="33" spans="1:34" ht="20.25" x14ac:dyDescent="0.55000000000000004">
      <c r="A33" s="90"/>
      <c r="B33" s="104"/>
      <c r="C33" s="104"/>
      <c r="D33" s="104"/>
      <c r="E33" s="101"/>
      <c r="F33" s="101"/>
      <c r="G33" s="101"/>
      <c r="H33" s="103"/>
      <c r="I33" s="103"/>
      <c r="J33" s="101"/>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1:34" x14ac:dyDescent="0.25">
      <c r="A34" s="90" t="s">
        <v>769</v>
      </c>
      <c r="B34" s="96">
        <f>SUM(B6:B32)</f>
        <v>857647</v>
      </c>
      <c r="C34" s="96" t="e">
        <f>+C26+C32</f>
        <v>#N/A</v>
      </c>
      <c r="D34" s="96" t="e">
        <f>+D26+D32</f>
        <v>#N/A</v>
      </c>
      <c r="E34" s="96" t="e">
        <f>+E26+E32</f>
        <v>#N/A</v>
      </c>
      <c r="F34" s="96" t="e">
        <f>+F32+F30</f>
        <v>#N/A</v>
      </c>
      <c r="G34" s="96" t="e">
        <f>#N/A</f>
        <v>#N/A</v>
      </c>
      <c r="H34" s="96" t="e">
        <f>#N/A</f>
        <v>#N/A</v>
      </c>
      <c r="I34" s="96" t="e">
        <f>#N/A</f>
        <v>#N/A</v>
      </c>
      <c r="J34" s="96" t="e">
        <f>#N/A</f>
        <v>#N/A</v>
      </c>
      <c r="K34" s="96" t="e">
        <f>#N/A</f>
        <v>#N/A</v>
      </c>
      <c r="L34" s="96" t="e">
        <f>#N/A</f>
        <v>#N/A</v>
      </c>
      <c r="M34" s="96" t="e">
        <f>#N/A</f>
        <v>#N/A</v>
      </c>
      <c r="N34" s="96">
        <f t="shared" ref="N34:Z34" si="11">+N30+N32</f>
        <v>1102000</v>
      </c>
      <c r="O34" s="96">
        <f t="shared" si="11"/>
        <v>-2371000</v>
      </c>
      <c r="P34" s="96">
        <f t="shared" si="11"/>
        <v>4314085.8500000006</v>
      </c>
      <c r="Q34" s="96">
        <f t="shared" si="11"/>
        <v>1950000</v>
      </c>
      <c r="R34" s="96">
        <f t="shared" si="11"/>
        <v>-2533809</v>
      </c>
      <c r="S34" s="96">
        <f t="shared" si="11"/>
        <v>3720276.85</v>
      </c>
      <c r="T34" s="96">
        <f t="shared" si="11"/>
        <v>2000000</v>
      </c>
      <c r="U34" s="96">
        <f t="shared" ref="U34:W34" si="12">+U30+U32</f>
        <v>-2533809</v>
      </c>
      <c r="V34" s="96">
        <f t="shared" si="12"/>
        <v>3176467.85</v>
      </c>
      <c r="W34" s="96">
        <f t="shared" si="12"/>
        <v>2315000</v>
      </c>
      <c r="X34" s="96">
        <f t="shared" si="11"/>
        <v>-2533809</v>
      </c>
      <c r="Y34" s="96">
        <f t="shared" si="11"/>
        <v>2947658.85</v>
      </c>
      <c r="Z34" s="96">
        <f t="shared" si="11"/>
        <v>2380000</v>
      </c>
      <c r="AA34" s="96">
        <f t="shared" ref="AA34:AH34" si="13">+AA30+AA32</f>
        <v>-1752311</v>
      </c>
      <c r="AB34" s="96">
        <f t="shared" si="13"/>
        <v>5522582.2599999998</v>
      </c>
      <c r="AC34" s="96">
        <f t="shared" si="13"/>
        <v>2447250</v>
      </c>
      <c r="AD34" s="96">
        <f t="shared" si="13"/>
        <v>-3356340</v>
      </c>
      <c r="AE34" s="96">
        <f t="shared" si="13"/>
        <v>4613492.26</v>
      </c>
      <c r="AF34" s="96">
        <f t="shared" si="13"/>
        <v>2497250</v>
      </c>
      <c r="AG34" s="96">
        <f t="shared" si="13"/>
        <v>0</v>
      </c>
      <c r="AH34" s="96">
        <f t="shared" si="13"/>
        <v>7110742.2599999998</v>
      </c>
    </row>
    <row r="35" spans="1:34" x14ac:dyDescent="0.25">
      <c r="A35" s="105"/>
      <c r="B35" s="105"/>
      <c r="C35" s="105"/>
      <c r="D35" s="105"/>
      <c r="E35" s="105"/>
      <c r="F35" s="105"/>
      <c r="G35" s="105"/>
      <c r="H35" s="105"/>
      <c r="I35" s="106"/>
      <c r="J35" s="106"/>
      <c r="K35" s="106"/>
      <c r="L35" s="106"/>
      <c r="M35" s="106"/>
    </row>
    <row r="36" spans="1:34" x14ac:dyDescent="0.25">
      <c r="A36" s="105" t="s">
        <v>2661</v>
      </c>
      <c r="B36" s="107"/>
      <c r="C36" s="107"/>
      <c r="D36" s="107"/>
      <c r="E36" s="107"/>
      <c r="F36" s="107"/>
      <c r="G36" s="107"/>
      <c r="H36" s="107"/>
      <c r="I36" s="108"/>
      <c r="J36" s="108"/>
      <c r="K36" s="108"/>
      <c r="L36" s="108"/>
      <c r="M36" s="108"/>
    </row>
    <row r="37" spans="1:34" x14ac:dyDescent="0.25">
      <c r="A37" s="105" t="s">
        <v>2662</v>
      </c>
      <c r="B37" s="105"/>
      <c r="C37" s="105"/>
      <c r="D37" s="105"/>
      <c r="E37" s="105"/>
      <c r="F37" s="105"/>
      <c r="G37" s="105"/>
      <c r="H37" s="105"/>
      <c r="I37" s="106"/>
      <c r="J37" s="106"/>
      <c r="K37" s="106"/>
      <c r="L37" s="106"/>
      <c r="M37" s="106"/>
    </row>
    <row r="38" spans="1:34" x14ac:dyDescent="0.25">
      <c r="A38" s="105" t="s">
        <v>2663</v>
      </c>
      <c r="B38" s="105"/>
      <c r="C38" s="105"/>
      <c r="D38" s="105"/>
      <c r="E38" s="105"/>
      <c r="F38" s="105"/>
      <c r="G38" s="105"/>
      <c r="H38" s="105"/>
      <c r="I38" s="106"/>
      <c r="J38" s="106"/>
      <c r="K38" s="106"/>
      <c r="L38" s="106"/>
      <c r="M38" s="106"/>
    </row>
    <row r="39" spans="1:34" x14ac:dyDescent="0.25">
      <c r="A39" s="90"/>
      <c r="B39" s="96"/>
      <c r="C39" s="96"/>
      <c r="D39" s="96"/>
      <c r="E39" s="98"/>
      <c r="F39" s="98"/>
      <c r="G39" s="98"/>
      <c r="H39" s="97"/>
      <c r="I39" s="97"/>
      <c r="J39" s="98"/>
      <c r="K39" s="97"/>
      <c r="L39" s="97"/>
      <c r="M39" s="97"/>
      <c r="N39" s="97"/>
      <c r="O39" s="97">
        <v>-1340000</v>
      </c>
      <c r="P39" s="97"/>
      <c r="Q39" s="97"/>
      <c r="R39" s="97">
        <v>-1280000</v>
      </c>
      <c r="S39" s="97"/>
      <c r="T39" s="97"/>
      <c r="U39" s="97">
        <f>-2182000-436000</f>
        <v>-2618000</v>
      </c>
      <c r="V39" s="97"/>
      <c r="W39" s="97"/>
      <c r="X39" s="97">
        <v>-1387231</v>
      </c>
      <c r="Y39" s="97"/>
    </row>
    <row r="40" spans="1:34" x14ac:dyDescent="0.25">
      <c r="A40" s="105"/>
      <c r="B40" s="105"/>
      <c r="C40" s="105"/>
      <c r="D40" s="105"/>
      <c r="E40" s="105"/>
      <c r="F40" s="105"/>
      <c r="G40" s="105"/>
      <c r="H40" s="105"/>
      <c r="I40" s="106"/>
      <c r="J40" s="106"/>
      <c r="K40" s="106"/>
      <c r="L40" s="106"/>
      <c r="M40" s="106"/>
    </row>
    <row r="41" spans="1:34" x14ac:dyDescent="0.25">
      <c r="A41" s="105"/>
      <c r="B41" s="105"/>
      <c r="C41" s="105"/>
      <c r="D41" s="105"/>
      <c r="E41" s="105"/>
      <c r="F41" s="105"/>
      <c r="G41" s="105"/>
      <c r="H41" s="105"/>
      <c r="I41" s="106"/>
      <c r="J41" s="106"/>
      <c r="K41" s="106"/>
      <c r="L41" s="106"/>
      <c r="M41" s="106"/>
    </row>
    <row r="42" spans="1:34" x14ac:dyDescent="0.25">
      <c r="A42" s="105"/>
      <c r="B42" s="105"/>
      <c r="C42" s="105"/>
      <c r="D42" s="105"/>
      <c r="E42" s="105"/>
      <c r="F42" s="105"/>
      <c r="G42" s="105"/>
      <c r="H42" s="105"/>
      <c r="I42" s="106"/>
      <c r="J42" s="106"/>
      <c r="K42" s="106"/>
      <c r="L42" s="106"/>
      <c r="M42" s="106"/>
    </row>
    <row r="43" spans="1:34" x14ac:dyDescent="0.25">
      <c r="A43" s="105"/>
      <c r="B43" s="105"/>
      <c r="C43" s="105"/>
      <c r="D43" s="105"/>
      <c r="E43" s="105"/>
      <c r="F43" s="105"/>
      <c r="G43" s="105"/>
      <c r="H43" s="105"/>
      <c r="I43" s="106"/>
      <c r="J43" s="106"/>
      <c r="K43" s="106"/>
      <c r="L43" s="106"/>
      <c r="M43" s="106"/>
    </row>
    <row r="44" spans="1:34" x14ac:dyDescent="0.25">
      <c r="A44" s="105"/>
      <c r="B44" s="105"/>
      <c r="C44" s="105"/>
      <c r="D44" s="105"/>
      <c r="E44" s="105"/>
      <c r="F44" s="105"/>
      <c r="G44" s="105"/>
      <c r="H44" s="105"/>
      <c r="I44" s="106"/>
      <c r="J44" s="106"/>
      <c r="K44" s="106"/>
      <c r="L44" s="106"/>
      <c r="M44" s="106"/>
    </row>
    <row r="45" spans="1:34" x14ac:dyDescent="0.25">
      <c r="A45" s="105"/>
      <c r="B45" s="105"/>
      <c r="C45" s="105"/>
      <c r="D45" s="105"/>
      <c r="E45" s="105"/>
      <c r="F45" s="105"/>
      <c r="G45" s="105"/>
      <c r="H45" s="105"/>
      <c r="I45" s="106"/>
      <c r="J45" s="106"/>
      <c r="K45" s="106"/>
      <c r="L45" s="106"/>
      <c r="M45" s="106"/>
    </row>
    <row r="46" spans="1:34" x14ac:dyDescent="0.25">
      <c r="A46" s="105"/>
      <c r="B46" s="105"/>
      <c r="C46" s="105"/>
      <c r="D46" s="105"/>
      <c r="E46" s="105"/>
      <c r="F46" s="105"/>
      <c r="G46" s="105"/>
      <c r="H46" s="105"/>
      <c r="I46" s="106"/>
      <c r="J46" s="106"/>
      <c r="K46" s="106"/>
      <c r="L46" s="106"/>
      <c r="M46" s="106"/>
    </row>
    <row r="47" spans="1:34" x14ac:dyDescent="0.25">
      <c r="A47" s="105"/>
      <c r="B47" s="105"/>
      <c r="C47" s="105"/>
      <c r="D47" s="105"/>
      <c r="E47" s="105"/>
      <c r="F47" s="105"/>
      <c r="G47" s="105"/>
      <c r="H47" s="105"/>
      <c r="I47" s="106"/>
      <c r="J47" s="106"/>
      <c r="K47" s="106"/>
      <c r="L47" s="106"/>
      <c r="M47" s="106"/>
    </row>
  </sheetData>
  <mergeCells count="3">
    <mergeCell ref="A3:M3"/>
    <mergeCell ref="A1:AH1"/>
    <mergeCell ref="A2:AH2"/>
  </mergeCells>
  <phoneticPr fontId="8" type="noConversion"/>
  <printOptions gridLines="1"/>
  <pageMargins left="0.75" right="0.16" top="0.51" bottom="0.22" header="0.5" footer="0.5"/>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60"/>
  <sheetViews>
    <sheetView workbookViewId="0">
      <pane xSplit="4" ySplit="2" topLeftCell="I3" activePane="bottomRight" state="frozen"/>
      <selection pane="topRight" activeCell="E1" sqref="E1"/>
      <selection pane="bottomLeft" activeCell="A3" sqref="A3"/>
      <selection pane="bottomRight" activeCell="J14" sqref="J14"/>
    </sheetView>
  </sheetViews>
  <sheetFormatPr defaultRowHeight="15" x14ac:dyDescent="0.2"/>
  <cols>
    <col min="1" max="1" width="55" style="530" bestFit="1" customWidth="1"/>
    <col min="2" max="2" width="12.5703125" style="530" customWidth="1"/>
    <col min="3" max="3" width="12" style="530" customWidth="1"/>
    <col min="4" max="4" width="12.42578125" style="530" customWidth="1"/>
    <col min="5" max="5" width="14.28515625" style="530" customWidth="1"/>
    <col min="6" max="6" width="15" style="530" customWidth="1"/>
    <col min="7" max="7" width="16.85546875" style="530" customWidth="1"/>
    <col min="8" max="8" width="16.28515625" style="530" customWidth="1"/>
    <col min="9" max="16384" width="9.140625" style="530"/>
  </cols>
  <sheetData>
    <row r="1" spans="1:8" ht="15.75" x14ac:dyDescent="0.25">
      <c r="D1" s="531"/>
      <c r="E1" s="531" t="s">
        <v>251</v>
      </c>
      <c r="F1" s="531" t="s">
        <v>68</v>
      </c>
      <c r="G1" s="531" t="s">
        <v>432</v>
      </c>
      <c r="H1" s="531" t="s">
        <v>338</v>
      </c>
    </row>
    <row r="2" spans="1:8" ht="18" x14ac:dyDescent="0.4">
      <c r="E2" s="532" t="s">
        <v>2290</v>
      </c>
      <c r="F2" s="532" t="s">
        <v>2507</v>
      </c>
      <c r="G2" s="532" t="s">
        <v>2507</v>
      </c>
      <c r="H2" s="532" t="s">
        <v>2507</v>
      </c>
    </row>
    <row r="3" spans="1:8" ht="15.75" x14ac:dyDescent="0.25">
      <c r="A3" s="533" t="s">
        <v>1497</v>
      </c>
      <c r="B3" s="553" t="s">
        <v>2163</v>
      </c>
      <c r="C3" s="553" t="s">
        <v>2290</v>
      </c>
      <c r="D3" s="553" t="s">
        <v>2507</v>
      </c>
      <c r="E3" s="534">
        <v>55000</v>
      </c>
      <c r="F3" s="534">
        <v>55000</v>
      </c>
      <c r="G3" s="534">
        <v>55000</v>
      </c>
      <c r="H3" s="534">
        <v>55000</v>
      </c>
    </row>
    <row r="4" spans="1:8" ht="15.75" x14ac:dyDescent="0.25">
      <c r="A4" s="535" t="s">
        <v>351</v>
      </c>
      <c r="B4" s="535">
        <v>35000</v>
      </c>
      <c r="C4" s="535">
        <v>35000</v>
      </c>
      <c r="D4" s="535">
        <v>35000</v>
      </c>
      <c r="E4" s="534"/>
      <c r="F4" s="534"/>
      <c r="G4" s="534"/>
      <c r="H4" s="534"/>
    </row>
    <row r="5" spans="1:8" ht="15.75" x14ac:dyDescent="0.25">
      <c r="A5" s="535" t="s">
        <v>1985</v>
      </c>
      <c r="B5" s="535">
        <v>10000</v>
      </c>
      <c r="C5" s="535">
        <v>10000</v>
      </c>
      <c r="D5" s="535">
        <v>10000</v>
      </c>
      <c r="E5" s="534"/>
      <c r="F5" s="534"/>
      <c r="G5" s="534"/>
      <c r="H5" s="534"/>
    </row>
    <row r="6" spans="1:8" ht="18" x14ac:dyDescent="0.4">
      <c r="A6" s="535" t="s">
        <v>352</v>
      </c>
      <c r="B6" s="29">
        <v>10000</v>
      </c>
      <c r="C6" s="29">
        <v>10000</v>
      </c>
      <c r="D6" s="29">
        <v>10000</v>
      </c>
      <c r="E6" s="534"/>
      <c r="F6" s="534"/>
      <c r="G6" s="534"/>
      <c r="H6" s="534"/>
    </row>
    <row r="7" spans="1:8" ht="15.75" x14ac:dyDescent="0.25">
      <c r="A7" s="535" t="s">
        <v>1320</v>
      </c>
      <c r="B7" s="535">
        <f>SUM(B4:B6)</f>
        <v>55000</v>
      </c>
      <c r="C7" s="535">
        <f>SUM(C4:C6)</f>
        <v>55000</v>
      </c>
      <c r="D7" s="535">
        <f>SUM(D4:D6)</f>
        <v>55000</v>
      </c>
      <c r="E7" s="534"/>
      <c r="F7" s="534"/>
      <c r="G7" s="534"/>
      <c r="H7" s="534"/>
    </row>
    <row r="8" spans="1:8" ht="15.75" x14ac:dyDescent="0.25">
      <c r="A8" s="535"/>
      <c r="B8" s="535"/>
      <c r="C8" s="535"/>
      <c r="D8" s="535"/>
      <c r="E8" s="534"/>
      <c r="F8" s="534"/>
      <c r="G8" s="534"/>
      <c r="H8" s="534"/>
    </row>
    <row r="9" spans="1:8" x14ac:dyDescent="0.2">
      <c r="E9" s="536"/>
      <c r="F9" s="536"/>
      <c r="G9" s="536"/>
      <c r="H9" s="536"/>
    </row>
    <row r="10" spans="1:8" s="115" customFormat="1" ht="15.75" x14ac:dyDescent="0.25">
      <c r="A10" s="533" t="s">
        <v>1284</v>
      </c>
      <c r="B10" s="533"/>
      <c r="C10" s="533"/>
      <c r="D10" s="537"/>
      <c r="E10" s="534">
        <v>17250</v>
      </c>
      <c r="F10" s="534">
        <v>17250</v>
      </c>
      <c r="G10" s="534">
        <v>17250</v>
      </c>
      <c r="H10" s="534">
        <v>17250</v>
      </c>
    </row>
    <row r="11" spans="1:8" s="115" customFormat="1" ht="15.75" x14ac:dyDescent="0.25">
      <c r="A11" s="538" t="s">
        <v>104</v>
      </c>
      <c r="B11" s="538"/>
      <c r="D11" s="535"/>
      <c r="E11" s="534"/>
      <c r="F11" s="534"/>
      <c r="G11" s="534"/>
      <c r="H11" s="534"/>
    </row>
    <row r="12" spans="1:8" s="115" customFormat="1" ht="15.75" x14ac:dyDescent="0.25">
      <c r="A12" s="538"/>
      <c r="B12" s="538"/>
      <c r="D12" s="535"/>
      <c r="E12" s="534"/>
      <c r="F12" s="534"/>
      <c r="G12" s="534"/>
      <c r="H12" s="534"/>
    </row>
    <row r="13" spans="1:8" s="115" customFormat="1" ht="15.75" x14ac:dyDescent="0.25">
      <c r="A13" s="533" t="s">
        <v>3</v>
      </c>
      <c r="B13" s="537"/>
      <c r="C13" s="537"/>
      <c r="D13" s="537"/>
      <c r="E13" s="534">
        <v>515000</v>
      </c>
      <c r="F13" s="534">
        <v>515000</v>
      </c>
      <c r="G13" s="534">
        <v>515000</v>
      </c>
      <c r="H13" s="534">
        <v>515000</v>
      </c>
    </row>
    <row r="14" spans="1:8" ht="15.75" x14ac:dyDescent="0.25">
      <c r="A14" s="535" t="s">
        <v>589</v>
      </c>
      <c r="B14" s="535"/>
      <c r="C14" s="535"/>
      <c r="D14" s="535">
        <v>400000</v>
      </c>
      <c r="E14" s="536"/>
      <c r="F14" s="536"/>
      <c r="G14" s="536"/>
      <c r="H14" s="536"/>
    </row>
    <row r="15" spans="1:8" ht="18" x14ac:dyDescent="0.4">
      <c r="A15" s="535" t="s">
        <v>35</v>
      </c>
      <c r="B15" s="535"/>
      <c r="C15" s="29"/>
      <c r="D15" s="29">
        <v>115000</v>
      </c>
      <c r="E15" s="536"/>
      <c r="F15" s="536"/>
      <c r="G15" s="536"/>
      <c r="H15" s="536"/>
    </row>
    <row r="16" spans="1:8" ht="15.75" x14ac:dyDescent="0.25">
      <c r="A16" s="535" t="s">
        <v>1320</v>
      </c>
      <c r="B16" s="535"/>
      <c r="C16" s="535"/>
      <c r="D16" s="535">
        <f>SUM(D14:D15)</f>
        <v>515000</v>
      </c>
      <c r="E16" s="539"/>
      <c r="F16" s="539"/>
      <c r="G16" s="539"/>
      <c r="H16" s="539"/>
    </row>
    <row r="17" spans="1:8" ht="15.75" x14ac:dyDescent="0.25">
      <c r="E17" s="539"/>
      <c r="F17" s="539"/>
      <c r="G17" s="539"/>
      <c r="H17" s="539"/>
    </row>
    <row r="18" spans="1:8" x14ac:dyDescent="0.2">
      <c r="E18" s="536"/>
      <c r="F18" s="536"/>
      <c r="G18" s="536"/>
      <c r="H18" s="536"/>
    </row>
    <row r="19" spans="1:8" s="115" customFormat="1" ht="15.75" x14ac:dyDescent="0.25">
      <c r="A19" s="540" t="s">
        <v>1493</v>
      </c>
      <c r="B19" s="540"/>
      <c r="D19" s="535"/>
      <c r="E19" s="534">
        <v>100000</v>
      </c>
      <c r="F19" s="534">
        <v>100000</v>
      </c>
      <c r="G19" s="534">
        <v>100000</v>
      </c>
      <c r="H19" s="534">
        <v>100000</v>
      </c>
    </row>
    <row r="20" spans="1:8" s="115" customFormat="1" ht="15.75" x14ac:dyDescent="0.25">
      <c r="A20" s="115" t="s">
        <v>588</v>
      </c>
      <c r="D20" s="535"/>
      <c r="E20" s="534"/>
      <c r="F20" s="534"/>
      <c r="G20" s="534"/>
      <c r="H20" s="534"/>
    </row>
    <row r="21" spans="1:8" s="115" customFormat="1" ht="15.75" x14ac:dyDescent="0.25">
      <c r="A21" s="115" t="s">
        <v>418</v>
      </c>
      <c r="D21" s="535"/>
      <c r="E21" s="534"/>
      <c r="F21" s="534"/>
      <c r="G21" s="534"/>
      <c r="H21" s="534"/>
    </row>
    <row r="22" spans="1:8" s="115" customFormat="1" ht="18" x14ac:dyDescent="0.4">
      <c r="A22" s="541"/>
      <c r="B22" s="541"/>
      <c r="C22" s="29"/>
      <c r="D22" s="29"/>
      <c r="E22" s="534"/>
      <c r="F22" s="534"/>
      <c r="G22" s="534"/>
      <c r="H22" s="534"/>
    </row>
    <row r="23" spans="1:8" ht="15.75" x14ac:dyDescent="0.25">
      <c r="A23" s="542" t="s">
        <v>858</v>
      </c>
      <c r="B23" s="553" t="s">
        <v>2163</v>
      </c>
      <c r="C23" s="553" t="s">
        <v>2290</v>
      </c>
      <c r="D23" s="553" t="s">
        <v>2507</v>
      </c>
      <c r="E23" s="544">
        <v>1075000</v>
      </c>
      <c r="F23" s="544">
        <v>1075000</v>
      </c>
      <c r="G23" s="544">
        <v>1075000</v>
      </c>
      <c r="H23" s="544">
        <v>1075000</v>
      </c>
    </row>
    <row r="24" spans="1:8" ht="15.75" x14ac:dyDescent="0.25">
      <c r="A24" s="545" t="s">
        <v>1158</v>
      </c>
      <c r="B24" s="543">
        <v>400000</v>
      </c>
      <c r="C24" s="543">
        <v>425000</v>
      </c>
      <c r="D24" s="543">
        <v>425000</v>
      </c>
      <c r="E24" s="544"/>
      <c r="F24" s="544"/>
      <c r="G24" s="544"/>
      <c r="H24" s="544"/>
    </row>
    <row r="25" spans="1:8" ht="15.75" x14ac:dyDescent="0.25">
      <c r="A25" s="545" t="s">
        <v>1738</v>
      </c>
      <c r="B25" s="543">
        <v>5000</v>
      </c>
      <c r="C25" s="543">
        <v>5000</v>
      </c>
      <c r="D25" s="543">
        <v>5000</v>
      </c>
      <c r="E25" s="544"/>
      <c r="F25" s="544"/>
      <c r="G25" s="544"/>
      <c r="H25" s="544"/>
    </row>
    <row r="26" spans="1:8" ht="15.75" x14ac:dyDescent="0.25">
      <c r="A26" s="545" t="s">
        <v>878</v>
      </c>
      <c r="B26" s="543">
        <v>50000</v>
      </c>
      <c r="C26" s="543">
        <v>50000</v>
      </c>
      <c r="D26" s="543">
        <v>50000</v>
      </c>
      <c r="E26" s="544"/>
      <c r="F26" s="544"/>
      <c r="G26" s="544"/>
      <c r="H26" s="544"/>
    </row>
    <row r="27" spans="1:8" ht="15.75" x14ac:dyDescent="0.25">
      <c r="A27" s="545" t="s">
        <v>1747</v>
      </c>
      <c r="B27" s="546">
        <v>545000</v>
      </c>
      <c r="C27" s="546">
        <v>595000</v>
      </c>
      <c r="D27" s="546">
        <v>595000</v>
      </c>
      <c r="E27" s="544"/>
      <c r="F27" s="544"/>
      <c r="G27" s="544"/>
      <c r="H27" s="544"/>
    </row>
    <row r="28" spans="1:8" ht="15.75" x14ac:dyDescent="0.25">
      <c r="A28" s="545" t="s">
        <v>1320</v>
      </c>
      <c r="B28" s="543">
        <f>SUM(B24:B27)</f>
        <v>1000000</v>
      </c>
      <c r="C28" s="543">
        <f>SUM(C24:C27)</f>
        <v>1075000</v>
      </c>
      <c r="D28" s="543">
        <f>SUM(D24:D27)</f>
        <v>1075000</v>
      </c>
      <c r="E28" s="544"/>
      <c r="F28" s="544"/>
      <c r="G28" s="544"/>
      <c r="H28" s="544"/>
    </row>
    <row r="29" spans="1:8" ht="15.75" x14ac:dyDescent="0.25">
      <c r="A29" s="545"/>
      <c r="B29" s="543"/>
      <c r="C29" s="543"/>
      <c r="D29" s="543"/>
      <c r="E29" s="544"/>
      <c r="F29" s="544"/>
      <c r="G29" s="544"/>
      <c r="H29" s="544"/>
    </row>
    <row r="30" spans="1:8" ht="15.75" x14ac:dyDescent="0.25">
      <c r="E30" s="544"/>
      <c r="F30" s="544"/>
      <c r="G30" s="544"/>
      <c r="H30" s="544"/>
    </row>
    <row r="31" spans="1:8" s="115" customFormat="1" ht="15.75" x14ac:dyDescent="0.25">
      <c r="A31" s="540" t="s">
        <v>925</v>
      </c>
      <c r="B31" s="540"/>
      <c r="C31" s="535"/>
      <c r="D31" s="535"/>
      <c r="E31" s="534">
        <v>100000</v>
      </c>
      <c r="F31" s="534">
        <v>100000</v>
      </c>
      <c r="G31" s="534">
        <v>100000</v>
      </c>
      <c r="H31" s="534">
        <v>100000</v>
      </c>
    </row>
    <row r="32" spans="1:8" s="115" customFormat="1" ht="15.75" x14ac:dyDescent="0.25">
      <c r="A32" s="115" t="s">
        <v>1210</v>
      </c>
      <c r="C32" s="535"/>
      <c r="D32" s="535">
        <v>100000</v>
      </c>
      <c r="E32" s="534"/>
      <c r="F32" s="534"/>
      <c r="G32" s="534"/>
      <c r="H32" s="534"/>
    </row>
    <row r="33" spans="1:8" s="115" customFormat="1" ht="15.75" x14ac:dyDescent="0.25">
      <c r="C33" s="535"/>
      <c r="D33" s="535"/>
      <c r="E33" s="534"/>
      <c r="F33" s="534"/>
      <c r="G33" s="534"/>
      <c r="H33" s="534"/>
    </row>
    <row r="34" spans="1:8" x14ac:dyDescent="0.2">
      <c r="E34" s="536"/>
      <c r="F34" s="536"/>
      <c r="G34" s="536"/>
      <c r="H34" s="536"/>
    </row>
    <row r="35" spans="1:8" s="115" customFormat="1" ht="15.75" x14ac:dyDescent="0.25">
      <c r="A35" s="540" t="s">
        <v>1496</v>
      </c>
      <c r="B35" s="553" t="s">
        <v>2163</v>
      </c>
      <c r="C35" s="553" t="s">
        <v>2290</v>
      </c>
      <c r="D35" s="553" t="s">
        <v>2507</v>
      </c>
      <c r="E35" s="534">
        <v>5000</v>
      </c>
      <c r="F35" s="534">
        <v>5000</v>
      </c>
      <c r="G35" s="534">
        <v>5000</v>
      </c>
      <c r="H35" s="534">
        <v>5000</v>
      </c>
    </row>
    <row r="36" spans="1:8" s="115" customFormat="1" ht="15.75" x14ac:dyDescent="0.25">
      <c r="A36" s="115" t="s">
        <v>433</v>
      </c>
      <c r="B36" s="535">
        <v>5000</v>
      </c>
      <c r="C36" s="535">
        <v>5000</v>
      </c>
      <c r="D36" s="535">
        <v>5000</v>
      </c>
      <c r="E36" s="534"/>
      <c r="F36" s="534"/>
      <c r="G36" s="534"/>
      <c r="H36" s="534"/>
    </row>
    <row r="37" spans="1:8" s="115" customFormat="1" ht="18" x14ac:dyDescent="0.4">
      <c r="A37" s="115" t="s">
        <v>952</v>
      </c>
      <c r="B37" s="29">
        <v>0</v>
      </c>
      <c r="C37" s="29">
        <v>0</v>
      </c>
      <c r="D37" s="29">
        <v>0</v>
      </c>
      <c r="E37" s="534"/>
      <c r="F37" s="534"/>
      <c r="G37" s="534"/>
      <c r="H37" s="534"/>
    </row>
    <row r="38" spans="1:8" s="115" customFormat="1" ht="15.75" x14ac:dyDescent="0.25">
      <c r="A38" s="115" t="s">
        <v>1320</v>
      </c>
      <c r="B38" s="535">
        <f>SUM(B36:B37)</f>
        <v>5000</v>
      </c>
      <c r="C38" s="535">
        <f>SUM(C36:C37)</f>
        <v>5000</v>
      </c>
      <c r="D38" s="535">
        <f>SUM(D36:D37)</f>
        <v>5000</v>
      </c>
      <c r="E38" s="534"/>
      <c r="F38" s="534"/>
      <c r="G38" s="534"/>
      <c r="H38" s="534"/>
    </row>
    <row r="39" spans="1:8" x14ac:dyDescent="0.2">
      <c r="E39" s="536"/>
      <c r="F39" s="536"/>
      <c r="G39" s="536"/>
      <c r="H39" s="536"/>
    </row>
    <row r="40" spans="1:8" s="115" customFormat="1" ht="15.75" x14ac:dyDescent="0.25">
      <c r="A40" s="547" t="s">
        <v>1431</v>
      </c>
      <c r="B40" s="547"/>
      <c r="C40" s="548"/>
      <c r="D40" s="549"/>
      <c r="E40" s="539">
        <v>75000</v>
      </c>
      <c r="F40" s="539">
        <v>75000</v>
      </c>
      <c r="G40" s="539">
        <v>75000</v>
      </c>
      <c r="H40" s="539">
        <v>75000</v>
      </c>
    </row>
    <row r="41" spans="1:8" s="115" customFormat="1" ht="15.75" x14ac:dyDescent="0.25">
      <c r="A41" s="548" t="s">
        <v>51</v>
      </c>
      <c r="B41" s="548"/>
      <c r="C41" s="548"/>
      <c r="D41" s="549"/>
      <c r="E41" s="539"/>
      <c r="F41" s="539"/>
      <c r="G41" s="539"/>
      <c r="H41" s="539"/>
    </row>
    <row r="42" spans="1:8" s="115" customFormat="1" ht="15.75" x14ac:dyDescent="0.25">
      <c r="A42" s="548"/>
      <c r="B42" s="548"/>
      <c r="C42" s="548"/>
      <c r="D42" s="549"/>
      <c r="E42" s="539"/>
      <c r="F42" s="539"/>
      <c r="G42" s="539"/>
      <c r="H42" s="539"/>
    </row>
    <row r="43" spans="1:8" s="115" customFormat="1" ht="18" x14ac:dyDescent="0.4">
      <c r="A43" s="540" t="s">
        <v>2068</v>
      </c>
      <c r="B43" s="540"/>
      <c r="E43" s="550">
        <v>5000</v>
      </c>
      <c r="F43" s="550">
        <v>5000</v>
      </c>
      <c r="G43" s="550">
        <v>5000</v>
      </c>
      <c r="H43" s="550">
        <v>5000</v>
      </c>
    </row>
    <row r="44" spans="1:8" s="115" customFormat="1" ht="18" x14ac:dyDescent="0.4">
      <c r="E44" s="534"/>
      <c r="F44" s="550"/>
      <c r="G44" s="534"/>
      <c r="H44" s="534"/>
    </row>
    <row r="45" spans="1:8" ht="15.75" x14ac:dyDescent="0.25">
      <c r="A45" s="115" t="s">
        <v>2655</v>
      </c>
      <c r="B45" s="115"/>
      <c r="C45" s="115"/>
      <c r="D45" s="115"/>
      <c r="E45" s="534">
        <f>SUM(E3:E43)</f>
        <v>1947250</v>
      </c>
      <c r="F45" s="534">
        <f>SUM(F3:F43)</f>
        <v>1947250</v>
      </c>
      <c r="G45" s="534">
        <f>SUM(G3:G43)</f>
        <v>1947250</v>
      </c>
      <c r="H45" s="534">
        <f>SUM(H3:H43)</f>
        <v>1947250</v>
      </c>
    </row>
    <row r="46" spans="1:8" ht="18" x14ac:dyDescent="0.4">
      <c r="A46" s="115"/>
      <c r="B46" s="115"/>
      <c r="C46" s="115"/>
      <c r="D46" s="115"/>
      <c r="E46" s="534"/>
      <c r="F46" s="550"/>
      <c r="G46" s="534"/>
      <c r="H46" s="534"/>
    </row>
    <row r="47" spans="1:8" ht="18" x14ac:dyDescent="0.4">
      <c r="A47" s="115"/>
      <c r="B47" s="115"/>
      <c r="C47" s="115"/>
      <c r="D47" s="115"/>
      <c r="E47" s="534"/>
      <c r="F47" s="550"/>
      <c r="G47" s="534"/>
      <c r="H47" s="534"/>
    </row>
    <row r="48" spans="1:8" ht="15.75" x14ac:dyDescent="0.25">
      <c r="A48" s="540" t="s">
        <v>108</v>
      </c>
      <c r="B48" s="540"/>
      <c r="C48" s="115"/>
      <c r="D48" s="115"/>
      <c r="E48" s="534"/>
      <c r="F48" s="536"/>
      <c r="G48" s="539"/>
      <c r="H48" s="539"/>
    </row>
    <row r="49" spans="1:8" s="115" customFormat="1" ht="18" x14ac:dyDescent="0.4">
      <c r="A49" s="115" t="s">
        <v>1725</v>
      </c>
      <c r="C49" s="535"/>
      <c r="E49" s="550">
        <v>500000</v>
      </c>
      <c r="F49" s="550">
        <v>550000</v>
      </c>
      <c r="G49" s="551">
        <v>550000</v>
      </c>
      <c r="H49" s="551">
        <v>550000</v>
      </c>
    </row>
    <row r="50" spans="1:8" s="115" customFormat="1" ht="15.75" x14ac:dyDescent="0.25">
      <c r="D50" s="535"/>
      <c r="E50" s="534"/>
      <c r="F50" s="534"/>
      <c r="G50" s="534"/>
      <c r="H50" s="534"/>
    </row>
    <row r="51" spans="1:8" ht="15.75" x14ac:dyDescent="0.25">
      <c r="A51" s="113" t="s">
        <v>1424</v>
      </c>
      <c r="E51" s="552">
        <f>SUM(E45:E50)</f>
        <v>2447250</v>
      </c>
      <c r="F51" s="552">
        <f t="shared" ref="F51:G51" si="0">SUM(F45:F50)</f>
        <v>2497250</v>
      </c>
      <c r="G51" s="552">
        <f t="shared" si="0"/>
        <v>2497250</v>
      </c>
      <c r="H51" s="552">
        <f t="shared" ref="H51" si="1">SUM(H45:H50)</f>
        <v>2497250</v>
      </c>
    </row>
    <row r="52" spans="1:8" x14ac:dyDescent="0.2">
      <c r="E52" s="536"/>
      <c r="F52" s="536"/>
      <c r="G52" s="536"/>
      <c r="H52" s="536"/>
    </row>
    <row r="53" spans="1:8" x14ac:dyDescent="0.2">
      <c r="E53" s="536"/>
      <c r="F53" s="536"/>
      <c r="G53" s="536"/>
      <c r="H53" s="536"/>
    </row>
    <row r="54" spans="1:8" x14ac:dyDescent="0.2">
      <c r="E54" s="536"/>
      <c r="F54" s="536"/>
      <c r="G54" s="536"/>
      <c r="H54" s="536"/>
    </row>
    <row r="55" spans="1:8" x14ac:dyDescent="0.2">
      <c r="E55" s="536"/>
      <c r="F55" s="536"/>
      <c r="G55" s="536"/>
      <c r="H55" s="536"/>
    </row>
    <row r="56" spans="1:8" x14ac:dyDescent="0.2">
      <c r="E56" s="536"/>
      <c r="F56" s="536"/>
      <c r="G56" s="536"/>
      <c r="H56" s="536"/>
    </row>
    <row r="57" spans="1:8" x14ac:dyDescent="0.2">
      <c r="E57" s="536"/>
      <c r="F57" s="536"/>
      <c r="G57" s="536"/>
      <c r="H57" s="536"/>
    </row>
    <row r="58" spans="1:8" x14ac:dyDescent="0.2">
      <c r="E58" s="536"/>
      <c r="F58" s="536"/>
      <c r="G58" s="536"/>
      <c r="H58" s="536"/>
    </row>
    <row r="59" spans="1:8" x14ac:dyDescent="0.2">
      <c r="E59" s="536"/>
      <c r="F59" s="536"/>
      <c r="G59" s="536"/>
      <c r="H59" s="536"/>
    </row>
    <row r="60" spans="1:8" x14ac:dyDescent="0.2">
      <c r="E60" s="536"/>
      <c r="F60" s="536"/>
      <c r="G60" s="536"/>
      <c r="H60" s="536"/>
    </row>
  </sheetData>
  <printOptions gridLines="1"/>
  <pageMargins left="0.7" right="0.2"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K89"/>
  <sheetViews>
    <sheetView view="pageBreakPreview" topLeftCell="C28" zoomScaleNormal="100" zoomScaleSheetLayoutView="100" workbookViewId="0">
      <selection activeCell="I37" sqref="I37"/>
    </sheetView>
  </sheetViews>
  <sheetFormatPr defaultColWidth="11.5703125" defaultRowHeight="12.75" x14ac:dyDescent="0.2"/>
  <cols>
    <col min="1" max="1" width="5" style="10" bestFit="1" customWidth="1"/>
    <col min="2" max="2" width="37.7109375" style="10" bestFit="1" customWidth="1"/>
    <col min="3" max="5" width="13.7109375" style="10" bestFit="1" customWidth="1"/>
    <col min="6" max="6" width="13.7109375" style="15" bestFit="1" customWidth="1"/>
    <col min="7" max="7" width="12.7109375" style="3" customWidth="1"/>
    <col min="8" max="8" width="11.85546875" style="3" bestFit="1" customWidth="1"/>
    <col min="9" max="16384" width="11.5703125" style="10"/>
  </cols>
  <sheetData>
    <row r="1" spans="1:9" ht="18.75" x14ac:dyDescent="0.3">
      <c r="A1" s="567" t="s">
        <v>1897</v>
      </c>
      <c r="B1" s="567"/>
      <c r="C1" s="567"/>
      <c r="D1" s="567"/>
      <c r="E1" s="567"/>
      <c r="F1" s="567"/>
      <c r="G1" s="567"/>
      <c r="H1" s="567"/>
    </row>
    <row r="2" spans="1:9" x14ac:dyDescent="0.2">
      <c r="A2" s="8"/>
      <c r="B2" s="8"/>
    </row>
    <row r="3" spans="1:9" x14ac:dyDescent="0.2">
      <c r="A3" s="8"/>
      <c r="B3" s="8"/>
    </row>
    <row r="4" spans="1:9" x14ac:dyDescent="0.2">
      <c r="A4" s="8"/>
      <c r="B4" s="8"/>
    </row>
    <row r="5" spans="1:9" s="32" customFormat="1" x14ac:dyDescent="0.2">
      <c r="B5" s="32" t="s">
        <v>418</v>
      </c>
      <c r="C5" s="19" t="s">
        <v>1785</v>
      </c>
      <c r="D5" s="19" t="s">
        <v>1918</v>
      </c>
      <c r="E5" s="19" t="s">
        <v>2003</v>
      </c>
      <c r="F5" s="19" t="s">
        <v>2084</v>
      </c>
      <c r="G5" s="19" t="s">
        <v>2163</v>
      </c>
      <c r="H5" s="19" t="s">
        <v>2290</v>
      </c>
      <c r="I5" s="19" t="s">
        <v>2507</v>
      </c>
    </row>
    <row r="6" spans="1:9" s="32" customFormat="1" x14ac:dyDescent="0.2">
      <c r="A6" s="42"/>
      <c r="B6" s="42" t="s">
        <v>279</v>
      </c>
      <c r="C6" s="214" t="s">
        <v>250</v>
      </c>
      <c r="D6" s="214" t="s">
        <v>250</v>
      </c>
      <c r="E6" s="31" t="s">
        <v>250</v>
      </c>
      <c r="F6" s="31" t="s">
        <v>250</v>
      </c>
      <c r="G6" s="31" t="s">
        <v>250</v>
      </c>
      <c r="H6" s="31" t="s">
        <v>251</v>
      </c>
      <c r="I6" s="31" t="s">
        <v>251</v>
      </c>
    </row>
    <row r="7" spans="1:9" s="32" customFormat="1" ht="18.75" x14ac:dyDescent="0.3">
      <c r="A7" s="42"/>
      <c r="B7" s="207" t="s">
        <v>1427</v>
      </c>
      <c r="C7" s="43"/>
      <c r="D7" s="43"/>
      <c r="E7" s="43"/>
      <c r="F7" s="22"/>
      <c r="G7" s="22"/>
      <c r="H7" s="22"/>
      <c r="I7" s="22"/>
    </row>
    <row r="8" spans="1:9" x14ac:dyDescent="0.2">
      <c r="A8" s="362" t="s">
        <v>2165</v>
      </c>
      <c r="B8" s="154" t="s">
        <v>2288</v>
      </c>
      <c r="C8" s="156">
        <v>0</v>
      </c>
      <c r="D8" s="156">
        <v>0</v>
      </c>
      <c r="E8" s="188">
        <v>207152</v>
      </c>
      <c r="F8" s="156">
        <v>694177</v>
      </c>
      <c r="G8" s="156">
        <v>276408</v>
      </c>
      <c r="H8" s="156">
        <v>0</v>
      </c>
      <c r="I8" s="156">
        <v>0</v>
      </c>
    </row>
    <row r="9" spans="1:9" x14ac:dyDescent="0.2">
      <c r="A9" s="153">
        <v>3120</v>
      </c>
      <c r="B9" s="153" t="s">
        <v>229</v>
      </c>
      <c r="C9" s="155">
        <v>43430</v>
      </c>
      <c r="D9" s="155">
        <v>70410</v>
      </c>
      <c r="E9" s="187">
        <v>119830</v>
      </c>
      <c r="F9" s="155">
        <v>174430</v>
      </c>
      <c r="G9" s="155">
        <v>480727</v>
      </c>
      <c r="H9" s="155">
        <v>175000</v>
      </c>
      <c r="I9" s="155">
        <v>125000</v>
      </c>
    </row>
    <row r="10" spans="1:9" x14ac:dyDescent="0.2">
      <c r="A10" s="154">
        <v>3185</v>
      </c>
      <c r="B10" s="154" t="s">
        <v>1652</v>
      </c>
      <c r="C10" s="156">
        <v>1580.93</v>
      </c>
      <c r="D10" s="156">
        <v>3578.26</v>
      </c>
      <c r="E10" s="188">
        <v>7173</v>
      </c>
      <c r="F10" s="156">
        <v>2734</v>
      </c>
      <c r="G10" s="156">
        <v>3767</v>
      </c>
      <c r="H10" s="156">
        <v>3000</v>
      </c>
      <c r="I10" s="156">
        <v>3000</v>
      </c>
    </row>
    <row r="11" spans="1:9" x14ac:dyDescent="0.2">
      <c r="A11" s="153">
        <v>3186</v>
      </c>
      <c r="B11" s="153" t="s">
        <v>1198</v>
      </c>
      <c r="C11" s="155">
        <v>7106</v>
      </c>
      <c r="D11" s="155">
        <v>7335</v>
      </c>
      <c r="E11" s="187">
        <v>7517</v>
      </c>
      <c r="F11" s="155">
        <v>7495</v>
      </c>
      <c r="G11" s="155">
        <v>7247</v>
      </c>
      <c r="H11" s="155">
        <v>7247</v>
      </c>
      <c r="I11" s="155">
        <v>7500</v>
      </c>
    </row>
    <row r="12" spans="1:9" x14ac:dyDescent="0.2">
      <c r="A12" s="154">
        <v>3189</v>
      </c>
      <c r="B12" s="154" t="s">
        <v>1654</v>
      </c>
      <c r="C12" s="156">
        <v>200000</v>
      </c>
      <c r="D12" s="156">
        <v>250000</v>
      </c>
      <c r="E12" s="188">
        <v>250000</v>
      </c>
      <c r="F12" s="156">
        <v>250000</v>
      </c>
      <c r="G12" s="156">
        <v>250000</v>
      </c>
      <c r="H12" s="156">
        <v>0</v>
      </c>
      <c r="I12" s="156">
        <v>0</v>
      </c>
    </row>
    <row r="13" spans="1:9" x14ac:dyDescent="0.2">
      <c r="A13" s="153">
        <v>3190</v>
      </c>
      <c r="B13" s="153" t="s">
        <v>499</v>
      </c>
      <c r="C13" s="155">
        <v>207585.53</v>
      </c>
      <c r="D13" s="155">
        <v>168369.35</v>
      </c>
      <c r="E13" s="187">
        <v>132524</v>
      </c>
      <c r="F13" s="155">
        <v>180827</v>
      </c>
      <c r="G13" s="155">
        <v>140366.01999999999</v>
      </c>
      <c r="H13" s="155">
        <v>202050</v>
      </c>
      <c r="I13" s="155">
        <v>162050</v>
      </c>
    </row>
    <row r="14" spans="1:9" x14ac:dyDescent="0.2">
      <c r="A14" s="154">
        <v>3199</v>
      </c>
      <c r="B14" s="154" t="s">
        <v>1199</v>
      </c>
      <c r="C14" s="156">
        <v>0</v>
      </c>
      <c r="D14" s="156">
        <v>400</v>
      </c>
      <c r="E14" s="188">
        <v>0</v>
      </c>
      <c r="F14" s="156">
        <v>0</v>
      </c>
      <c r="G14" s="156">
        <v>0</v>
      </c>
      <c r="H14" s="156">
        <v>100</v>
      </c>
      <c r="I14" s="156">
        <v>100</v>
      </c>
    </row>
    <row r="15" spans="1:9" x14ac:dyDescent="0.2">
      <c r="A15" s="153">
        <v>3220</v>
      </c>
      <c r="B15" s="153" t="s">
        <v>1268</v>
      </c>
      <c r="C15" s="155">
        <v>5293978</v>
      </c>
      <c r="D15" s="155">
        <v>5496246.5</v>
      </c>
      <c r="E15" s="187">
        <v>5565027</v>
      </c>
      <c r="F15" s="155">
        <v>6009856</v>
      </c>
      <c r="G15" s="155">
        <v>5854190</v>
      </c>
      <c r="H15" s="155">
        <v>5625000</v>
      </c>
      <c r="I15" s="155">
        <v>5625000</v>
      </c>
    </row>
    <row r="16" spans="1:9" x14ac:dyDescent="0.2">
      <c r="A16" s="154">
        <v>3230</v>
      </c>
      <c r="B16" s="154" t="s">
        <v>128</v>
      </c>
      <c r="C16" s="156">
        <v>211978</v>
      </c>
      <c r="D16" s="156">
        <v>210708</v>
      </c>
      <c r="E16" s="188">
        <v>172562</v>
      </c>
      <c r="F16" s="156">
        <v>312429</v>
      </c>
      <c r="G16" s="156">
        <v>210945</v>
      </c>
      <c r="H16" s="156">
        <v>265000</v>
      </c>
      <c r="I16" s="156">
        <v>200500</v>
      </c>
    </row>
    <row r="17" spans="1:167" x14ac:dyDescent="0.2">
      <c r="A17" s="153">
        <v>3290</v>
      </c>
      <c r="B17" s="153" t="s">
        <v>1752</v>
      </c>
      <c r="C17" s="155">
        <v>324368.83</v>
      </c>
      <c r="D17" s="155">
        <v>308715.05</v>
      </c>
      <c r="E17" s="187">
        <v>303380</v>
      </c>
      <c r="F17" s="187">
        <v>353670</v>
      </c>
      <c r="G17" s="187">
        <v>363086</v>
      </c>
      <c r="H17" s="155">
        <v>340780</v>
      </c>
      <c r="I17" s="155">
        <v>368380</v>
      </c>
    </row>
    <row r="18" spans="1:167" x14ac:dyDescent="0.2">
      <c r="A18" s="154">
        <v>3311</v>
      </c>
      <c r="B18" s="154" t="s">
        <v>10</v>
      </c>
      <c r="C18" s="156">
        <v>159545.77000000002</v>
      </c>
      <c r="D18" s="156">
        <v>132594.32999999999</v>
      </c>
      <c r="E18" s="188">
        <v>41650</v>
      </c>
      <c r="F18" s="188">
        <v>13109</v>
      </c>
      <c r="G18" s="188">
        <v>1706528</v>
      </c>
      <c r="H18" s="156">
        <v>853082</v>
      </c>
      <c r="I18" s="156">
        <v>860000</v>
      </c>
    </row>
    <row r="19" spans="1:167" s="118" customFormat="1" x14ac:dyDescent="0.2">
      <c r="A19" s="153">
        <v>3311</v>
      </c>
      <c r="B19" s="153" t="s">
        <v>1862</v>
      </c>
      <c r="C19" s="155">
        <v>0</v>
      </c>
      <c r="D19" s="155">
        <v>0</v>
      </c>
      <c r="E19" s="187">
        <v>0</v>
      </c>
      <c r="F19" s="155">
        <v>0</v>
      </c>
      <c r="G19" s="155">
        <v>0</v>
      </c>
      <c r="H19" s="155">
        <v>0</v>
      </c>
      <c r="I19" s="155">
        <v>0</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row>
    <row r="20" spans="1:167" s="32" customFormat="1" x14ac:dyDescent="0.2">
      <c r="A20" s="154">
        <v>3351</v>
      </c>
      <c r="B20" s="154" t="s">
        <v>2300</v>
      </c>
      <c r="C20" s="156">
        <v>1309094.83</v>
      </c>
      <c r="D20" s="156">
        <v>1308110.55</v>
      </c>
      <c r="E20" s="188">
        <v>1528111</v>
      </c>
      <c r="F20" s="156">
        <v>1549898</v>
      </c>
      <c r="G20" s="156">
        <v>1997671</v>
      </c>
      <c r="H20" s="156">
        <v>2366927</v>
      </c>
      <c r="I20" s="156">
        <v>2370000</v>
      </c>
    </row>
    <row r="21" spans="1:167" s="121" customFormat="1" x14ac:dyDescent="0.2">
      <c r="A21" s="153">
        <v>3353</v>
      </c>
      <c r="B21" s="153" t="s">
        <v>743</v>
      </c>
      <c r="C21" s="162">
        <v>1089188.2</v>
      </c>
      <c r="D21" s="162">
        <v>597403.52</v>
      </c>
      <c r="E21" s="190">
        <v>606987</v>
      </c>
      <c r="F21" s="162">
        <v>580667</v>
      </c>
      <c r="G21" s="162">
        <v>589261</v>
      </c>
      <c r="H21" s="162">
        <v>599819</v>
      </c>
      <c r="I21" s="162">
        <v>592000</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row>
    <row r="22" spans="1:167" s="121" customFormat="1" x14ac:dyDescent="0.2">
      <c r="A22" s="154">
        <v>3359</v>
      </c>
      <c r="B22" s="154" t="s">
        <v>1753</v>
      </c>
      <c r="C22" s="161">
        <v>57204.95</v>
      </c>
      <c r="D22" s="161">
        <v>61528.979999999996</v>
      </c>
      <c r="E22" s="189">
        <v>55490</v>
      </c>
      <c r="F22" s="189">
        <v>18535</v>
      </c>
      <c r="G22" s="189">
        <v>27113</v>
      </c>
      <c r="H22" s="161">
        <f>2474+4757+176505</f>
        <v>183736</v>
      </c>
      <c r="I22" s="161">
        <v>112200</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row>
    <row r="23" spans="1:167" s="32" customFormat="1" x14ac:dyDescent="0.2">
      <c r="A23" s="153">
        <v>3359</v>
      </c>
      <c r="B23" s="153" t="s">
        <v>1754</v>
      </c>
      <c r="C23" s="162">
        <v>123710.25</v>
      </c>
      <c r="D23" s="162">
        <v>451252.44</v>
      </c>
      <c r="E23" s="190">
        <v>2661468</v>
      </c>
      <c r="F23" s="190">
        <v>245056</v>
      </c>
      <c r="G23" s="190">
        <v>244924</v>
      </c>
      <c r="H23" s="162">
        <v>0</v>
      </c>
      <c r="I23" s="162">
        <v>0</v>
      </c>
    </row>
    <row r="24" spans="1:167" s="118" customFormat="1" x14ac:dyDescent="0.2">
      <c r="A24" s="154">
        <v>3401</v>
      </c>
      <c r="B24" s="154" t="s">
        <v>1653</v>
      </c>
      <c r="C24" s="156">
        <v>437588.67000000004</v>
      </c>
      <c r="D24" s="156">
        <v>446951.80000000005</v>
      </c>
      <c r="E24" s="188">
        <v>509756.5</v>
      </c>
      <c r="F24" s="188">
        <v>438172</v>
      </c>
      <c r="G24" s="188">
        <v>551585</v>
      </c>
      <c r="H24" s="156">
        <v>526414</v>
      </c>
      <c r="I24" s="156">
        <f>543752+51818</f>
        <v>595570</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row>
    <row r="25" spans="1:167" x14ac:dyDescent="0.2">
      <c r="A25" s="153">
        <v>3401</v>
      </c>
      <c r="B25" s="153" t="s">
        <v>1655</v>
      </c>
      <c r="C25" s="155">
        <v>773464.26</v>
      </c>
      <c r="D25" s="155">
        <v>873970.76</v>
      </c>
      <c r="E25" s="187">
        <v>801514</v>
      </c>
      <c r="F25" s="155">
        <v>894716</v>
      </c>
      <c r="G25" s="155">
        <v>941895</v>
      </c>
      <c r="H25" s="155">
        <v>965000</v>
      </c>
      <c r="I25" s="155">
        <v>965000</v>
      </c>
    </row>
    <row r="26" spans="1:167" s="118" customFormat="1" x14ac:dyDescent="0.2">
      <c r="A26" s="154">
        <v>3401</v>
      </c>
      <c r="B26" s="154" t="s">
        <v>1656</v>
      </c>
      <c r="C26" s="156">
        <v>256076.38</v>
      </c>
      <c r="D26" s="156">
        <v>213497.2</v>
      </c>
      <c r="E26" s="188">
        <v>219561</v>
      </c>
      <c r="F26" s="156">
        <v>220089</v>
      </c>
      <c r="G26" s="156">
        <v>314263</v>
      </c>
      <c r="H26" s="156">
        <v>233450</v>
      </c>
      <c r="I26" s="156">
        <f>334250+90000</f>
        <v>424250</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row>
    <row r="27" spans="1:167" x14ac:dyDescent="0.2">
      <c r="A27" s="153">
        <v>3501</v>
      </c>
      <c r="B27" s="153" t="s">
        <v>522</v>
      </c>
      <c r="C27" s="155">
        <v>36268.89</v>
      </c>
      <c r="D27" s="155">
        <v>48420.91</v>
      </c>
      <c r="E27" s="187">
        <v>7713</v>
      </c>
      <c r="F27" s="155">
        <v>18977</v>
      </c>
      <c r="G27" s="155">
        <v>89208</v>
      </c>
      <c r="H27" s="155">
        <v>20000</v>
      </c>
      <c r="I27" s="155">
        <v>20000</v>
      </c>
    </row>
    <row r="28" spans="1:167" s="118" customFormat="1" x14ac:dyDescent="0.2">
      <c r="A28" s="154">
        <v>3502</v>
      </c>
      <c r="B28" s="154" t="s">
        <v>1061</v>
      </c>
      <c r="C28" s="156">
        <v>433035.92</v>
      </c>
      <c r="D28" s="156">
        <v>788447.68</v>
      </c>
      <c r="E28" s="188">
        <v>530652</v>
      </c>
      <c r="F28" s="156">
        <v>69961</v>
      </c>
      <c r="G28" s="156">
        <v>73481</v>
      </c>
      <c r="H28" s="156">
        <v>439000</v>
      </c>
      <c r="I28" s="156">
        <v>700000</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row>
    <row r="29" spans="1:167" x14ac:dyDescent="0.2">
      <c r="A29" s="153">
        <v>3503</v>
      </c>
      <c r="B29" s="153" t="s">
        <v>1757</v>
      </c>
      <c r="C29" s="155">
        <v>200800.75</v>
      </c>
      <c r="D29" s="155">
        <v>69726.44</v>
      </c>
      <c r="E29" s="187">
        <v>86670</v>
      </c>
      <c r="F29" s="187">
        <v>72094</v>
      </c>
      <c r="G29" s="187">
        <v>72257</v>
      </c>
      <c r="H29" s="155">
        <v>43825</v>
      </c>
      <c r="I29" s="155">
        <v>39075</v>
      </c>
    </row>
    <row r="30" spans="1:167" s="118" customFormat="1" x14ac:dyDescent="0.2">
      <c r="A30" s="154">
        <v>3503</v>
      </c>
      <c r="B30" s="154" t="s">
        <v>1755</v>
      </c>
      <c r="C30" s="156">
        <v>0</v>
      </c>
      <c r="D30" s="156">
        <v>118362.13</v>
      </c>
      <c r="E30" s="188">
        <v>38677</v>
      </c>
      <c r="F30" s="156">
        <v>207424</v>
      </c>
      <c r="G30" s="156">
        <v>541877</v>
      </c>
      <c r="H30" s="156">
        <v>7500</v>
      </c>
      <c r="I30" s="156">
        <v>5000</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row>
    <row r="31" spans="1:167" x14ac:dyDescent="0.2">
      <c r="A31" s="153">
        <v>3503</v>
      </c>
      <c r="B31" s="153" t="s">
        <v>1756</v>
      </c>
      <c r="C31" s="155">
        <v>7700</v>
      </c>
      <c r="D31" s="155">
        <v>7550</v>
      </c>
      <c r="E31" s="187">
        <v>6500</v>
      </c>
      <c r="F31" s="155">
        <v>7000</v>
      </c>
      <c r="G31" s="155">
        <v>7000</v>
      </c>
      <c r="H31" s="155">
        <v>7500</v>
      </c>
      <c r="I31" s="155">
        <v>7500</v>
      </c>
    </row>
    <row r="32" spans="1:167" s="118" customFormat="1" x14ac:dyDescent="0.2">
      <c r="A32" s="154">
        <v>3915</v>
      </c>
      <c r="B32" s="154" t="s">
        <v>232</v>
      </c>
      <c r="C32" s="156">
        <v>1445729.05</v>
      </c>
      <c r="D32" s="156">
        <v>1160955.52</v>
      </c>
      <c r="E32" s="188">
        <v>2128439</v>
      </c>
      <c r="F32" s="156">
        <v>1827658</v>
      </c>
      <c r="G32" s="156">
        <v>1863475</v>
      </c>
      <c r="H32" s="156">
        <v>0</v>
      </c>
      <c r="I32" s="156">
        <v>0</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row>
    <row r="33" spans="1:167" x14ac:dyDescent="0.2">
      <c r="A33" s="157">
        <v>3912</v>
      </c>
      <c r="B33" s="153" t="s">
        <v>1863</v>
      </c>
      <c r="C33" s="155">
        <v>126540</v>
      </c>
      <c r="D33" s="155">
        <v>127974.48</v>
      </c>
      <c r="E33" s="155">
        <v>127205</v>
      </c>
      <c r="F33" s="155">
        <v>134838</v>
      </c>
      <c r="G33" s="155">
        <v>131245</v>
      </c>
      <c r="H33" s="155">
        <v>135000</v>
      </c>
      <c r="I33" s="155">
        <v>135000</v>
      </c>
    </row>
    <row r="34" spans="1:167" x14ac:dyDescent="0.2">
      <c r="A34" s="158">
        <v>3934</v>
      </c>
      <c r="B34" s="154" t="s">
        <v>1863</v>
      </c>
      <c r="C34" s="156">
        <v>245146</v>
      </c>
      <c r="D34" s="156">
        <v>-127974</v>
      </c>
      <c r="E34" s="156">
        <v>-2205</v>
      </c>
      <c r="F34" s="156">
        <v>-9838</v>
      </c>
      <c r="G34" s="156">
        <v>3755</v>
      </c>
      <c r="H34" s="156">
        <v>0</v>
      </c>
      <c r="I34" s="156">
        <v>0</v>
      </c>
    </row>
    <row r="35" spans="1:167" s="118" customFormat="1" x14ac:dyDescent="0.2">
      <c r="A35" s="153">
        <v>9997</v>
      </c>
      <c r="B35" s="153" t="s">
        <v>494</v>
      </c>
      <c r="C35" s="155">
        <v>59566.5</v>
      </c>
      <c r="D35" s="155">
        <v>-287338.12</v>
      </c>
      <c r="E35" s="187">
        <v>-21716</v>
      </c>
      <c r="F35" s="155">
        <v>-134990</v>
      </c>
      <c r="G35" s="155">
        <v>-355336</v>
      </c>
      <c r="H35" s="155">
        <v>-332507</v>
      </c>
      <c r="I35" s="155">
        <v>-350000</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row>
    <row r="36" spans="1:167" s="118" customFormat="1" x14ac:dyDescent="0.2">
      <c r="A36" s="154"/>
      <c r="B36" s="154" t="s">
        <v>228</v>
      </c>
      <c r="C36" s="156">
        <v>14941577.280000001</v>
      </c>
      <c r="D36" s="156">
        <v>14357730.23</v>
      </c>
      <c r="E36" s="137">
        <f>15557842-143070</f>
        <v>15414772</v>
      </c>
      <c r="F36" s="156">
        <f>-515333+17193341</f>
        <v>16678008</v>
      </c>
      <c r="G36" s="156">
        <v>18572605</v>
      </c>
      <c r="H36" s="156">
        <v>18553857</v>
      </c>
      <c r="I36" s="156">
        <f>19793180-239080+411076</f>
        <v>19965176</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row>
    <row r="37" spans="1:167" s="118" customFormat="1" ht="15" x14ac:dyDescent="0.35">
      <c r="A37" s="153">
        <v>9998</v>
      </c>
      <c r="B37" s="153" t="s">
        <v>1805</v>
      </c>
      <c r="C37" s="173"/>
      <c r="D37" s="173"/>
      <c r="E37" s="191"/>
      <c r="F37" s="195"/>
      <c r="G37" s="195"/>
      <c r="H37" s="195">
        <v>1350000</v>
      </c>
      <c r="I37" s="195">
        <v>2384500</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row>
    <row r="38" spans="1:167" x14ac:dyDescent="0.2">
      <c r="B38" s="10" t="s">
        <v>1870</v>
      </c>
      <c r="C38" s="3">
        <f t="shared" ref="C38:F38" si="0">SUM(C8:C37)</f>
        <v>27992264.990000002</v>
      </c>
      <c r="D38" s="3">
        <f t="shared" si="0"/>
        <v>26864927.010000002</v>
      </c>
      <c r="E38" s="3">
        <f t="shared" si="0"/>
        <v>31506409.5</v>
      </c>
      <c r="F38" s="3">
        <f t="shared" si="0"/>
        <v>30816992</v>
      </c>
      <c r="G38" s="3">
        <f t="shared" ref="G38" si="1">SUM(G8:G37)</f>
        <v>34959543.019999996</v>
      </c>
      <c r="H38" s="3">
        <f>SUM(H8:H37)</f>
        <v>32570780</v>
      </c>
      <c r="I38" s="3">
        <f>SUM(I8:I37)</f>
        <v>35316801</v>
      </c>
    </row>
    <row r="39" spans="1:167" x14ac:dyDescent="0.2">
      <c r="A39" s="8"/>
      <c r="B39" s="8"/>
      <c r="C39" s="448"/>
      <c r="D39" s="448"/>
      <c r="E39" s="15"/>
      <c r="F39" s="3"/>
      <c r="I39" s="3"/>
    </row>
    <row r="40" spans="1:167" s="9" customFormat="1" ht="12" customHeight="1" x14ac:dyDescent="0.2">
      <c r="A40" s="32"/>
      <c r="B40" s="32" t="s">
        <v>418</v>
      </c>
      <c r="C40" s="19" t="s">
        <v>1785</v>
      </c>
      <c r="D40" s="19" t="s">
        <v>1918</v>
      </c>
      <c r="E40" s="19" t="s">
        <v>2003</v>
      </c>
      <c r="F40" s="19" t="s">
        <v>2084</v>
      </c>
      <c r="G40" s="19" t="s">
        <v>2163</v>
      </c>
      <c r="H40" s="19" t="s">
        <v>2290</v>
      </c>
      <c r="I40" s="19" t="s">
        <v>2507</v>
      </c>
    </row>
    <row r="41" spans="1:167" s="9" customFormat="1" ht="12" customHeight="1" x14ac:dyDescent="0.2">
      <c r="A41" s="42"/>
      <c r="B41" s="42" t="s">
        <v>279</v>
      </c>
      <c r="C41" s="214" t="s">
        <v>250</v>
      </c>
      <c r="D41" s="214" t="s">
        <v>250</v>
      </c>
      <c r="E41" s="31" t="s">
        <v>250</v>
      </c>
      <c r="F41" s="31" t="s">
        <v>250</v>
      </c>
      <c r="G41" s="31" t="s">
        <v>250</v>
      </c>
      <c r="H41" s="31" t="s">
        <v>251</v>
      </c>
      <c r="I41" s="31" t="s">
        <v>251</v>
      </c>
    </row>
    <row r="42" spans="1:167" s="9" customFormat="1" ht="18.75" x14ac:dyDescent="0.3">
      <c r="A42" s="42"/>
      <c r="B42" s="207" t="s">
        <v>1893</v>
      </c>
      <c r="C42" s="43"/>
      <c r="D42" s="43"/>
      <c r="E42" s="43"/>
      <c r="F42" s="22"/>
      <c r="G42" s="22"/>
      <c r="H42" s="22"/>
      <c r="I42" s="22"/>
    </row>
    <row r="43" spans="1:167" x14ac:dyDescent="0.2">
      <c r="A43" s="154">
        <v>3290</v>
      </c>
      <c r="B43" s="154" t="s">
        <v>143</v>
      </c>
      <c r="C43" s="156">
        <v>1100</v>
      </c>
      <c r="D43" s="156">
        <v>1186.75</v>
      </c>
      <c r="E43" s="156">
        <v>250</v>
      </c>
      <c r="F43" s="156">
        <v>800</v>
      </c>
      <c r="G43" s="156">
        <v>509</v>
      </c>
      <c r="H43" s="156">
        <v>789</v>
      </c>
      <c r="I43" s="156">
        <v>500</v>
      </c>
    </row>
    <row r="44" spans="1:167" s="32" customFormat="1" x14ac:dyDescent="0.2">
      <c r="A44" s="153">
        <v>3359</v>
      </c>
      <c r="B44" s="153" t="s">
        <v>390</v>
      </c>
      <c r="C44" s="162">
        <v>125356</v>
      </c>
      <c r="D44" s="162">
        <v>79711</v>
      </c>
      <c r="E44" s="162">
        <v>78536</v>
      </c>
      <c r="F44" s="162">
        <v>273524</v>
      </c>
      <c r="G44" s="162">
        <v>170759</v>
      </c>
      <c r="H44" s="162">
        <v>168193</v>
      </c>
      <c r="I44" s="162">
        <v>165628</v>
      </c>
    </row>
    <row r="45" spans="1:167" s="32" customFormat="1" x14ac:dyDescent="0.2">
      <c r="A45" s="154">
        <v>3401</v>
      </c>
      <c r="B45" s="154" t="s">
        <v>100</v>
      </c>
      <c r="C45" s="161">
        <v>4286987.419999999</v>
      </c>
      <c r="D45" s="161">
        <v>4330957.9999999991</v>
      </c>
      <c r="E45" s="161">
        <v>4516632</v>
      </c>
      <c r="F45" s="161">
        <v>5562553</v>
      </c>
      <c r="G45" s="161">
        <v>4547749</v>
      </c>
      <c r="H45" s="161">
        <f>4960986+2566-500000</f>
        <v>4463552</v>
      </c>
      <c r="I45" s="161">
        <f>6141100-1502375+703+7034+59980</f>
        <v>4706442</v>
      </c>
    </row>
    <row r="46" spans="1:167" x14ac:dyDescent="0.2">
      <c r="A46" s="153">
        <v>3501</v>
      </c>
      <c r="B46" s="153" t="s">
        <v>522</v>
      </c>
      <c r="C46" s="155">
        <v>1400</v>
      </c>
      <c r="D46" s="155">
        <v>68.89</v>
      </c>
      <c r="E46" s="155">
        <v>0</v>
      </c>
      <c r="F46" s="155">
        <v>2</v>
      </c>
      <c r="G46" s="155">
        <v>0</v>
      </c>
      <c r="H46" s="155">
        <v>750</v>
      </c>
      <c r="I46" s="155">
        <v>750</v>
      </c>
    </row>
    <row r="47" spans="1:167" x14ac:dyDescent="0.2">
      <c r="A47" s="154">
        <v>3502</v>
      </c>
      <c r="B47" s="154" t="s">
        <v>1061</v>
      </c>
      <c r="C47" s="156">
        <v>33013.839999999997</v>
      </c>
      <c r="D47" s="156">
        <v>60847.93</v>
      </c>
      <c r="E47" s="156">
        <v>56170</v>
      </c>
      <c r="F47" s="156">
        <v>9653</v>
      </c>
      <c r="G47" s="156">
        <v>10896</v>
      </c>
      <c r="H47" s="156">
        <v>10000</v>
      </c>
      <c r="I47" s="156">
        <v>10000</v>
      </c>
    </row>
    <row r="48" spans="1:167" x14ac:dyDescent="0.2">
      <c r="A48" s="153">
        <v>3503</v>
      </c>
      <c r="B48" s="153" t="s">
        <v>1062</v>
      </c>
      <c r="C48" s="155">
        <v>10770.46</v>
      </c>
      <c r="D48" s="155">
        <v>9594.2000000000007</v>
      </c>
      <c r="E48" s="155"/>
      <c r="F48" s="155"/>
      <c r="G48" s="155"/>
      <c r="H48" s="155"/>
      <c r="I48" s="155"/>
    </row>
    <row r="49" spans="1:9" ht="15" x14ac:dyDescent="0.35">
      <c r="A49" s="154">
        <v>3915</v>
      </c>
      <c r="B49" s="154" t="s">
        <v>232</v>
      </c>
      <c r="C49" s="163">
        <v>536281.80000000005</v>
      </c>
      <c r="D49" s="163">
        <v>403762.73</v>
      </c>
      <c r="E49" s="163">
        <v>353379</v>
      </c>
      <c r="F49" s="194">
        <v>4395</v>
      </c>
      <c r="G49" s="194">
        <v>423054</v>
      </c>
      <c r="H49" s="194">
        <v>500000</v>
      </c>
      <c r="I49" s="194">
        <v>550000</v>
      </c>
    </row>
    <row r="50" spans="1:9" x14ac:dyDescent="0.2">
      <c r="B50" s="10" t="s">
        <v>1898</v>
      </c>
      <c r="C50" s="3">
        <f t="shared" ref="C50:F50" si="2">SUM(C43:C49)</f>
        <v>4994909.5199999986</v>
      </c>
      <c r="D50" s="3">
        <f t="shared" si="2"/>
        <v>4886129.4999999981</v>
      </c>
      <c r="E50" s="3">
        <f t="shared" si="2"/>
        <v>5004967</v>
      </c>
      <c r="F50" s="3">
        <f t="shared" si="2"/>
        <v>5850927</v>
      </c>
      <c r="G50" s="3">
        <f t="shared" ref="G50" si="3">SUM(G43:G49)</f>
        <v>5152967</v>
      </c>
      <c r="H50" s="3">
        <f t="shared" ref="H50" si="4">SUM(H43:H49)</f>
        <v>5143284</v>
      </c>
      <c r="I50" s="3">
        <f>SUM(I43:I49)</f>
        <v>5433320</v>
      </c>
    </row>
    <row r="51" spans="1:9" x14ac:dyDescent="0.2">
      <c r="C51" s="3"/>
      <c r="D51" s="3"/>
      <c r="E51" s="15"/>
      <c r="F51" s="3"/>
      <c r="I51" s="3"/>
    </row>
    <row r="52" spans="1:9" s="23" customFormat="1" x14ac:dyDescent="0.2">
      <c r="A52" s="32"/>
      <c r="B52" s="32" t="s">
        <v>418</v>
      </c>
      <c r="C52" s="19" t="s">
        <v>1785</v>
      </c>
      <c r="D52" s="19" t="s">
        <v>1918</v>
      </c>
      <c r="E52" s="19" t="s">
        <v>2003</v>
      </c>
      <c r="F52" s="19" t="s">
        <v>2084</v>
      </c>
      <c r="G52" s="19" t="s">
        <v>2163</v>
      </c>
      <c r="H52" s="19" t="s">
        <v>2290</v>
      </c>
      <c r="I52" s="19" t="s">
        <v>2507</v>
      </c>
    </row>
    <row r="53" spans="1:9" s="23" customFormat="1" x14ac:dyDescent="0.2">
      <c r="A53" s="42"/>
      <c r="B53" s="42" t="s">
        <v>279</v>
      </c>
      <c r="C53" s="214" t="s">
        <v>250</v>
      </c>
      <c r="D53" s="214" t="s">
        <v>250</v>
      </c>
      <c r="E53" s="31" t="s">
        <v>250</v>
      </c>
      <c r="F53" s="31" t="s">
        <v>250</v>
      </c>
      <c r="G53" s="31" t="s">
        <v>250</v>
      </c>
      <c r="H53" s="31" t="s">
        <v>251</v>
      </c>
      <c r="I53" s="31" t="s">
        <v>251</v>
      </c>
    </row>
    <row r="54" spans="1:9" s="23" customFormat="1" ht="18.75" x14ac:dyDescent="0.3">
      <c r="A54" s="42"/>
      <c r="B54" s="207" t="s">
        <v>1894</v>
      </c>
      <c r="C54" s="43"/>
      <c r="D54" s="43"/>
      <c r="E54" s="43"/>
      <c r="F54" s="22"/>
      <c r="G54" s="22"/>
      <c r="H54" s="22"/>
      <c r="I54" s="22"/>
    </row>
    <row r="55" spans="1:9" s="23" customFormat="1" x14ac:dyDescent="0.2">
      <c r="A55" s="154">
        <v>3189</v>
      </c>
      <c r="B55" s="154" t="s">
        <v>175</v>
      </c>
      <c r="C55" s="156">
        <v>203069.29</v>
      </c>
      <c r="D55" s="156">
        <v>267173.73</v>
      </c>
      <c r="E55" s="156">
        <v>287068</v>
      </c>
      <c r="F55" s="156">
        <v>328101</v>
      </c>
      <c r="G55" s="156">
        <f>146240+179401</f>
        <v>325641</v>
      </c>
      <c r="H55" s="156">
        <v>381268</v>
      </c>
      <c r="I55" s="156">
        <f>386146-750-7000+7079</f>
        <v>385475</v>
      </c>
    </row>
    <row r="56" spans="1:9" s="32" customFormat="1" x14ac:dyDescent="0.2">
      <c r="A56" s="153">
        <v>3401</v>
      </c>
      <c r="B56" s="153" t="s">
        <v>176</v>
      </c>
      <c r="C56" s="162"/>
      <c r="D56" s="162"/>
      <c r="E56" s="162"/>
      <c r="F56" s="162"/>
      <c r="G56" s="162"/>
      <c r="H56" s="162"/>
      <c r="I56" s="162"/>
    </row>
    <row r="57" spans="1:9" s="32" customFormat="1" ht="15" x14ac:dyDescent="0.35">
      <c r="A57" s="154">
        <v>3502</v>
      </c>
      <c r="B57" s="154" t="s">
        <v>1061</v>
      </c>
      <c r="C57" s="164">
        <v>9970.19</v>
      </c>
      <c r="D57" s="164">
        <v>14820</v>
      </c>
      <c r="E57" s="164">
        <v>8077</v>
      </c>
      <c r="F57" s="196">
        <v>837</v>
      </c>
      <c r="G57" s="196">
        <v>467</v>
      </c>
      <c r="H57" s="196">
        <v>1000</v>
      </c>
      <c r="I57" s="196">
        <v>1200</v>
      </c>
    </row>
    <row r="58" spans="1:9" x14ac:dyDescent="0.2">
      <c r="B58" s="10" t="s">
        <v>1902</v>
      </c>
      <c r="C58" s="3">
        <f t="shared" ref="C58:F58" si="5">SUM(C55:C57)</f>
        <v>213039.48</v>
      </c>
      <c r="D58" s="3">
        <f t="shared" si="5"/>
        <v>281993.73</v>
      </c>
      <c r="E58" s="3">
        <f t="shared" si="5"/>
        <v>295145</v>
      </c>
      <c r="F58" s="3">
        <f t="shared" si="5"/>
        <v>328938</v>
      </c>
      <c r="G58" s="3">
        <f t="shared" ref="G58" si="6">SUM(G55:G57)</f>
        <v>326108</v>
      </c>
      <c r="H58" s="3">
        <f>SUM(H55:H57)</f>
        <v>382268</v>
      </c>
      <c r="I58" s="3">
        <f>SUM(I55:I57)</f>
        <v>386675</v>
      </c>
    </row>
    <row r="59" spans="1:9" x14ac:dyDescent="0.2">
      <c r="C59" s="3"/>
      <c r="D59" s="3"/>
      <c r="E59" s="15"/>
      <c r="F59" s="3"/>
      <c r="I59" s="3"/>
    </row>
    <row r="60" spans="1:9" x14ac:dyDescent="0.2">
      <c r="A60" s="24"/>
      <c r="B60" s="24"/>
      <c r="C60" s="19" t="s">
        <v>1785</v>
      </c>
      <c r="D60" s="19" t="s">
        <v>1918</v>
      </c>
      <c r="E60" s="19" t="s">
        <v>2003</v>
      </c>
      <c r="F60" s="19" t="s">
        <v>2084</v>
      </c>
      <c r="G60" s="19" t="s">
        <v>2163</v>
      </c>
      <c r="H60" s="19" t="s">
        <v>2290</v>
      </c>
      <c r="I60" s="19" t="s">
        <v>2507</v>
      </c>
    </row>
    <row r="61" spans="1:9" x14ac:dyDescent="0.2">
      <c r="A61" s="42"/>
      <c r="B61" s="42" t="s">
        <v>279</v>
      </c>
      <c r="C61" s="214" t="s">
        <v>250</v>
      </c>
      <c r="D61" s="214" t="s">
        <v>250</v>
      </c>
      <c r="E61" s="31" t="s">
        <v>250</v>
      </c>
      <c r="F61" s="31" t="s">
        <v>250</v>
      </c>
      <c r="G61" s="31" t="s">
        <v>250</v>
      </c>
      <c r="H61" s="31" t="s">
        <v>251</v>
      </c>
      <c r="I61" s="31" t="s">
        <v>251</v>
      </c>
    </row>
    <row r="62" spans="1:9" ht="18.75" x14ac:dyDescent="0.3">
      <c r="A62" s="42"/>
      <c r="B62" s="207" t="s">
        <v>1895</v>
      </c>
      <c r="C62" s="43"/>
      <c r="D62" s="43"/>
      <c r="E62" s="22"/>
      <c r="F62" s="22"/>
      <c r="G62" s="22"/>
      <c r="H62" s="22"/>
      <c r="I62" s="22"/>
    </row>
    <row r="63" spans="1:9" x14ac:dyDescent="0.2">
      <c r="A63" s="154">
        <v>3401</v>
      </c>
      <c r="B63" s="154" t="s">
        <v>177</v>
      </c>
      <c r="C63" s="156">
        <v>87140</v>
      </c>
      <c r="D63" s="156">
        <v>90996.6</v>
      </c>
      <c r="E63" s="156">
        <v>94713</v>
      </c>
      <c r="F63" s="156">
        <v>99286</v>
      </c>
      <c r="G63" s="156">
        <v>111015</v>
      </c>
      <c r="H63" s="156">
        <v>107468</v>
      </c>
      <c r="I63" s="156">
        <v>111400</v>
      </c>
    </row>
    <row r="64" spans="1:9" s="32" customFormat="1" ht="15" x14ac:dyDescent="0.35">
      <c r="A64" s="153">
        <v>3502</v>
      </c>
      <c r="B64" s="153" t="s">
        <v>1061</v>
      </c>
      <c r="C64" s="165">
        <v>1243.54</v>
      </c>
      <c r="D64" s="165">
        <v>2266</v>
      </c>
      <c r="E64" s="197">
        <v>1501</v>
      </c>
      <c r="F64" s="197">
        <v>201</v>
      </c>
      <c r="G64" s="197">
        <v>199</v>
      </c>
      <c r="H64" s="197">
        <v>250</v>
      </c>
      <c r="I64" s="197">
        <v>600</v>
      </c>
    </row>
    <row r="65" spans="1:9" x14ac:dyDescent="0.2">
      <c r="A65" s="24"/>
      <c r="B65" s="27" t="s">
        <v>1901</v>
      </c>
      <c r="C65" s="19">
        <f t="shared" ref="C65:F65" si="7">SUM(C63:C64)</f>
        <v>88383.54</v>
      </c>
      <c r="D65" s="19">
        <f t="shared" si="7"/>
        <v>93262.6</v>
      </c>
      <c r="E65" s="19">
        <f t="shared" si="7"/>
        <v>96214</v>
      </c>
      <c r="F65" s="19">
        <f t="shared" si="7"/>
        <v>99487</v>
      </c>
      <c r="G65" s="19">
        <f t="shared" ref="G65" si="8">SUM(G63:G64)</f>
        <v>111214</v>
      </c>
      <c r="H65" s="19">
        <f>SUM(H63:H64)</f>
        <v>107718</v>
      </c>
      <c r="I65" s="19">
        <f>SUM(I63:I64)</f>
        <v>112000</v>
      </c>
    </row>
    <row r="66" spans="1:9" x14ac:dyDescent="0.2">
      <c r="A66" s="32"/>
      <c r="B66" s="32" t="s">
        <v>418</v>
      </c>
      <c r="C66" s="448"/>
      <c r="D66" s="448"/>
      <c r="E66" s="15"/>
      <c r="F66" s="3"/>
      <c r="I66" s="3"/>
    </row>
    <row r="67" spans="1:9" x14ac:dyDescent="0.2">
      <c r="A67" s="42"/>
      <c r="B67" s="42" t="s">
        <v>279</v>
      </c>
      <c r="C67" s="19" t="s">
        <v>1785</v>
      </c>
      <c r="D67" s="19" t="s">
        <v>1918</v>
      </c>
      <c r="E67" s="19" t="s">
        <v>2003</v>
      </c>
      <c r="F67" s="19" t="s">
        <v>2084</v>
      </c>
      <c r="G67" s="19" t="s">
        <v>2163</v>
      </c>
      <c r="H67" s="19" t="s">
        <v>2290</v>
      </c>
      <c r="I67" s="19" t="s">
        <v>2507</v>
      </c>
    </row>
    <row r="68" spans="1:9" x14ac:dyDescent="0.2">
      <c r="A68" s="42"/>
      <c r="B68" s="42"/>
      <c r="C68" s="214" t="s">
        <v>250</v>
      </c>
      <c r="D68" s="214" t="s">
        <v>250</v>
      </c>
      <c r="E68" s="31" t="s">
        <v>250</v>
      </c>
      <c r="F68" s="31" t="s">
        <v>250</v>
      </c>
      <c r="G68" s="31" t="s">
        <v>250</v>
      </c>
      <c r="H68" s="31" t="s">
        <v>251</v>
      </c>
      <c r="I68" s="31" t="s">
        <v>251</v>
      </c>
    </row>
    <row r="69" spans="1:9" ht="18.75" x14ac:dyDescent="0.3">
      <c r="A69" s="42"/>
      <c r="B69" s="207" t="s">
        <v>1896</v>
      </c>
      <c r="C69" s="43"/>
      <c r="D69" s="43"/>
      <c r="E69" s="22"/>
      <c r="F69" s="22"/>
      <c r="G69" s="22"/>
      <c r="H69" s="22"/>
      <c r="I69" s="22"/>
    </row>
    <row r="70" spans="1:9" x14ac:dyDescent="0.2">
      <c r="A70" s="154">
        <v>3401</v>
      </c>
      <c r="B70" s="154" t="s">
        <v>1374</v>
      </c>
      <c r="C70" s="156">
        <v>507304.94</v>
      </c>
      <c r="D70" s="156">
        <v>379778.26</v>
      </c>
      <c r="E70" s="156">
        <v>401868</v>
      </c>
      <c r="F70" s="156">
        <v>400310</v>
      </c>
      <c r="G70" s="156">
        <f>378469+54838</f>
        <v>433307</v>
      </c>
      <c r="H70" s="156">
        <v>487004</v>
      </c>
      <c r="I70" s="156">
        <v>486279</v>
      </c>
    </row>
    <row r="71" spans="1:9" s="32" customFormat="1" x14ac:dyDescent="0.2">
      <c r="A71" s="153">
        <v>3401</v>
      </c>
      <c r="B71" s="153" t="s">
        <v>835</v>
      </c>
      <c r="C71" s="162">
        <v>13445.44</v>
      </c>
      <c r="D71" s="162">
        <v>13972.12</v>
      </c>
      <c r="E71" s="162">
        <v>3124</v>
      </c>
      <c r="F71" s="162">
        <v>0</v>
      </c>
      <c r="G71" s="162">
        <v>0</v>
      </c>
      <c r="H71" s="162">
        <v>12795</v>
      </c>
      <c r="I71" s="162">
        <v>12795</v>
      </c>
    </row>
    <row r="72" spans="1:9" x14ac:dyDescent="0.2">
      <c r="A72" s="154">
        <v>3401</v>
      </c>
      <c r="B72" s="154" t="s">
        <v>123</v>
      </c>
      <c r="C72" s="156">
        <v>0</v>
      </c>
      <c r="D72" s="156">
        <v>0</v>
      </c>
      <c r="E72" s="156">
        <v>0</v>
      </c>
      <c r="F72" s="156">
        <v>0</v>
      </c>
      <c r="G72" s="156">
        <v>0</v>
      </c>
      <c r="H72" s="156">
        <v>0</v>
      </c>
      <c r="I72" s="156">
        <v>0</v>
      </c>
    </row>
    <row r="73" spans="1:9" x14ac:dyDescent="0.2">
      <c r="A73" s="153">
        <v>3916</v>
      </c>
      <c r="B73" s="153" t="s">
        <v>501</v>
      </c>
      <c r="C73" s="187">
        <v>4385.72</v>
      </c>
      <c r="D73" s="155">
        <v>5200.2400000000007</v>
      </c>
      <c r="E73" s="155">
        <v>11000</v>
      </c>
      <c r="F73" s="155">
        <v>5311</v>
      </c>
      <c r="G73" s="155">
        <v>12000</v>
      </c>
      <c r="H73" s="155">
        <v>12000</v>
      </c>
      <c r="I73" s="155">
        <v>12000</v>
      </c>
    </row>
    <row r="74" spans="1:9" x14ac:dyDescent="0.2">
      <c r="A74" s="158">
        <v>3311</v>
      </c>
      <c r="B74" s="154" t="s">
        <v>1193</v>
      </c>
      <c r="C74" s="156">
        <v>0</v>
      </c>
      <c r="D74" s="156">
        <v>0</v>
      </c>
      <c r="E74" s="156">
        <v>0</v>
      </c>
      <c r="F74" s="156">
        <v>0</v>
      </c>
      <c r="G74" s="156">
        <v>0</v>
      </c>
      <c r="H74" s="156">
        <v>0</v>
      </c>
      <c r="I74" s="156">
        <v>0</v>
      </c>
    </row>
    <row r="75" spans="1:9" s="225" customFormat="1" x14ac:dyDescent="0.2">
      <c r="A75" s="157">
        <v>3934</v>
      </c>
      <c r="B75" s="153" t="s">
        <v>1992</v>
      </c>
      <c r="C75" s="155">
        <v>439646.28</v>
      </c>
      <c r="D75" s="155">
        <v>2726888</v>
      </c>
      <c r="E75" s="155">
        <v>82218</v>
      </c>
      <c r="F75" s="155">
        <v>7876</v>
      </c>
      <c r="G75" s="155">
        <v>0</v>
      </c>
      <c r="H75" s="155">
        <v>0</v>
      </c>
      <c r="I75" s="155">
        <v>0</v>
      </c>
    </row>
    <row r="76" spans="1:9" s="225" customFormat="1" x14ac:dyDescent="0.2">
      <c r="A76" s="158">
        <v>3934</v>
      </c>
      <c r="B76" s="154" t="s">
        <v>1749</v>
      </c>
      <c r="C76" s="156"/>
      <c r="D76" s="156">
        <v>0</v>
      </c>
      <c r="E76" s="156">
        <v>0</v>
      </c>
      <c r="F76" s="156">
        <v>0</v>
      </c>
      <c r="G76" s="156">
        <v>0</v>
      </c>
      <c r="H76" s="156">
        <v>10102750</v>
      </c>
      <c r="I76" s="156">
        <v>0</v>
      </c>
    </row>
    <row r="77" spans="1:9" x14ac:dyDescent="0.2">
      <c r="B77" s="10" t="s">
        <v>1899</v>
      </c>
      <c r="C77" s="3">
        <f t="shared" ref="C77:F77" si="9">SUM(C70:C76)</f>
        <v>964782.38</v>
      </c>
      <c r="D77" s="3">
        <f t="shared" si="9"/>
        <v>3125838.62</v>
      </c>
      <c r="E77" s="3">
        <f t="shared" si="9"/>
        <v>498210</v>
      </c>
      <c r="F77" s="3">
        <f t="shared" si="9"/>
        <v>413497</v>
      </c>
      <c r="G77" s="3">
        <f t="shared" ref="G77" si="10">SUM(G70:G76)</f>
        <v>445307</v>
      </c>
      <c r="H77" s="3">
        <f>SUM(H70:H76)</f>
        <v>10614549</v>
      </c>
      <c r="I77" s="3">
        <f>SUM(I70:I76)</f>
        <v>511074</v>
      </c>
    </row>
    <row r="78" spans="1:9" x14ac:dyDescent="0.2">
      <c r="C78" s="15"/>
      <c r="D78" s="15"/>
      <c r="E78" s="15"/>
      <c r="F78" s="3"/>
      <c r="I78" s="3"/>
    </row>
    <row r="79" spans="1:9" x14ac:dyDescent="0.2">
      <c r="A79" s="9"/>
      <c r="B79" s="9" t="s">
        <v>1900</v>
      </c>
      <c r="C79" s="3">
        <f t="shared" ref="C79:D79" si="11">+C77+C65+C58+C50+C38</f>
        <v>34253379.909999996</v>
      </c>
      <c r="D79" s="3">
        <f t="shared" si="11"/>
        <v>35252151.460000001</v>
      </c>
      <c r="E79" s="3">
        <f>+E77+E65+E58+E50+E38</f>
        <v>37400945.5</v>
      </c>
      <c r="F79" s="3">
        <f t="shared" ref="F79" si="12">+F77+F65+F58+F50+F38</f>
        <v>37509841</v>
      </c>
      <c r="G79" s="3">
        <f t="shared" ref="G79:I79" si="13">+G77+G65+G58+G50+G38</f>
        <v>40995139.019999996</v>
      </c>
      <c r="H79" s="3">
        <f t="shared" ref="H79" si="14">+H77+H65+H58+H50+H38</f>
        <v>48818599</v>
      </c>
      <c r="I79" s="3">
        <f t="shared" si="13"/>
        <v>41759870</v>
      </c>
    </row>
    <row r="83" spans="3:9" x14ac:dyDescent="0.2">
      <c r="C83" s="3">
        <f t="shared" ref="C83:I83" si="15">+C77+C65+C58+C50+C38</f>
        <v>34253379.909999996</v>
      </c>
      <c r="D83" s="3">
        <f t="shared" si="15"/>
        <v>35252151.460000001</v>
      </c>
      <c r="E83" s="3">
        <f t="shared" si="15"/>
        <v>37400945.5</v>
      </c>
      <c r="F83" s="15">
        <f t="shared" si="15"/>
        <v>37509841</v>
      </c>
      <c r="G83" s="15">
        <f t="shared" si="15"/>
        <v>40995139.019999996</v>
      </c>
      <c r="H83" s="3">
        <f>+H77+H65+H58+H50+H38</f>
        <v>48818599</v>
      </c>
      <c r="I83" s="3">
        <f t="shared" si="15"/>
        <v>41759870</v>
      </c>
    </row>
    <row r="84" spans="3:9" x14ac:dyDescent="0.2">
      <c r="C84" s="3">
        <f>+C83-'revenue '!U241</f>
        <v>0</v>
      </c>
      <c r="D84" s="3">
        <f>+D83-'revenue '!V241</f>
        <v>0.12000000476837158</v>
      </c>
      <c r="E84" s="3">
        <f>+E83-'revenue '!W241</f>
        <v>0</v>
      </c>
      <c r="F84" s="15">
        <f>+F83-'revenue '!X241</f>
        <v>0</v>
      </c>
      <c r="G84" s="3">
        <f>+G83-'revenue '!Y241</f>
        <v>-1.000000536441803E-2</v>
      </c>
      <c r="H84" s="3">
        <f>+H83-'revenue '!Z241</f>
        <v>-27787</v>
      </c>
      <c r="I84" s="3">
        <f>+I83-'revenue '!AA241</f>
        <v>0</v>
      </c>
    </row>
    <row r="86" spans="3:9" x14ac:dyDescent="0.2">
      <c r="E86" s="3"/>
      <c r="G86" s="10"/>
      <c r="H86" s="10"/>
    </row>
    <row r="87" spans="3:9" x14ac:dyDescent="0.2">
      <c r="D87" s="3">
        <f>+D38-'revenue '!V148</f>
        <v>0</v>
      </c>
    </row>
    <row r="88" spans="3:9" x14ac:dyDescent="0.2">
      <c r="D88" s="3">
        <f>+D77-'revenue '!V239-'revenue '!V215</f>
        <v>0</v>
      </c>
    </row>
    <row r="89" spans="3:9" x14ac:dyDescent="0.2">
      <c r="C89" s="3"/>
      <c r="D89" s="3">
        <f>+D50-'revenue '!V179</f>
        <v>0</v>
      </c>
      <c r="E89" s="3"/>
      <c r="F89" s="3"/>
    </row>
  </sheetData>
  <mergeCells count="1">
    <mergeCell ref="A1:H1"/>
  </mergeCells>
  <printOptions horizontalCentered="1" gridLines="1"/>
  <pageMargins left="0.75" right="0.16" top="0.76" bottom="0.16" header="0.25" footer="0.17"/>
  <pageSetup scale="93" fitToHeight="17" orientation="landscape" r:id="rId1"/>
  <headerFooter alignWithMargins="0">
    <oddHeader>&amp;C&amp;"Arial,Bold"&amp;12Town of Merrimack
 Revenue Budget - Summary</oddHeader>
  </headerFooter>
  <rowBreaks count="1" manualBreakCount="1">
    <brk id="39"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D283"/>
  <sheetViews>
    <sheetView view="pageBreakPreview" zoomScaleNormal="100" zoomScaleSheetLayoutView="100" workbookViewId="0">
      <pane xSplit="3" ySplit="6" topLeftCell="X149" activePane="bottomRight" state="frozen"/>
      <selection activeCell="F38" sqref="F38:F65"/>
      <selection pane="topRight" activeCell="F38" sqref="F38:F65"/>
      <selection pane="bottomLeft" activeCell="F38" sqref="F38:F65"/>
      <selection pane="bottomRight" activeCell="AA124" sqref="AA124"/>
    </sheetView>
  </sheetViews>
  <sheetFormatPr defaultColWidth="11.5703125" defaultRowHeight="12.75" x14ac:dyDescent="0.2"/>
  <cols>
    <col min="1" max="1" width="9.85546875" style="10" customWidth="1"/>
    <col min="2" max="2" width="5.28515625" style="10" bestFit="1" customWidth="1"/>
    <col min="3" max="3" width="33.5703125" style="10" bestFit="1" customWidth="1"/>
    <col min="4" max="4" width="28.42578125" style="10" bestFit="1" customWidth="1"/>
    <col min="5" max="5" width="13.42578125" style="10" hidden="1" customWidth="1"/>
    <col min="6" max="6" width="14.7109375" style="10" hidden="1" customWidth="1"/>
    <col min="7" max="7" width="13.5703125" style="10" hidden="1" customWidth="1"/>
    <col min="8" max="8" width="12.7109375" style="10" hidden="1" customWidth="1"/>
    <col min="9" max="9" width="12.7109375" style="15" hidden="1" customWidth="1"/>
    <col min="10" max="10" width="11" style="10" hidden="1" customWidth="1"/>
    <col min="11" max="11" width="12.7109375" style="10" hidden="1" customWidth="1"/>
    <col min="12" max="12" width="11" style="10" hidden="1" customWidth="1"/>
    <col min="13" max="13" width="12.7109375" style="15" hidden="1" customWidth="1"/>
    <col min="14" max="14" width="10.42578125" style="3" hidden="1" customWidth="1"/>
    <col min="15" max="15" width="12.7109375" style="15" hidden="1" customWidth="1"/>
    <col min="16" max="16" width="13.42578125" style="15" hidden="1" customWidth="1"/>
    <col min="17" max="17" width="12.7109375" style="15" hidden="1" customWidth="1"/>
    <col min="18" max="18" width="13.42578125" style="10" hidden="1" customWidth="1"/>
    <col min="19" max="19" width="10.42578125" style="3" hidden="1" customWidth="1"/>
    <col min="20" max="20" width="11" style="3" hidden="1" customWidth="1"/>
    <col min="21" max="24" width="11.7109375" style="3" bestFit="1" customWidth="1"/>
    <col min="25" max="27" width="12.42578125" style="3" customWidth="1"/>
    <col min="28" max="16384" width="11.5703125" style="10"/>
  </cols>
  <sheetData>
    <row r="1" spans="1:28" x14ac:dyDescent="0.2">
      <c r="A1" s="562" t="s">
        <v>2671</v>
      </c>
      <c r="B1" s="562"/>
      <c r="C1" s="562"/>
      <c r="D1" s="562"/>
      <c r="E1" s="562"/>
      <c r="F1" s="562"/>
      <c r="G1" s="562"/>
      <c r="H1" s="562"/>
      <c r="I1" s="562"/>
      <c r="J1" s="562"/>
      <c r="K1" s="562"/>
      <c r="L1" s="8"/>
      <c r="M1" s="41"/>
    </row>
    <row r="2" spans="1:28" x14ac:dyDescent="0.2">
      <c r="A2" s="8" t="s">
        <v>418</v>
      </c>
      <c r="B2" s="8"/>
      <c r="C2" s="8"/>
      <c r="D2" s="8"/>
      <c r="E2" s="8"/>
      <c r="F2" s="8"/>
      <c r="G2" s="8"/>
      <c r="H2" s="8"/>
      <c r="I2" s="41"/>
      <c r="J2" s="8"/>
      <c r="L2" s="8"/>
      <c r="M2" s="41"/>
    </row>
    <row r="3" spans="1:28" x14ac:dyDescent="0.2">
      <c r="A3" s="8"/>
      <c r="B3" s="8"/>
      <c r="C3" s="8"/>
      <c r="D3" s="8"/>
      <c r="E3" s="8"/>
      <c r="F3" s="8"/>
      <c r="G3" s="8"/>
      <c r="H3" s="8"/>
      <c r="I3" s="41"/>
      <c r="J3" s="8"/>
      <c r="L3" s="8"/>
      <c r="M3" s="41"/>
    </row>
    <row r="4" spans="1:28" ht="13.5" thickBot="1" x14ac:dyDescent="0.25">
      <c r="A4" s="8"/>
      <c r="B4" s="8"/>
      <c r="C4" s="8"/>
      <c r="D4" s="8"/>
      <c r="E4" s="8"/>
      <c r="F4" s="8"/>
      <c r="G4" s="8"/>
      <c r="H4" s="8"/>
      <c r="I4" s="41"/>
      <c r="J4" s="8"/>
      <c r="L4" s="8"/>
      <c r="M4" s="41"/>
    </row>
    <row r="5" spans="1:28" s="32" customFormat="1" x14ac:dyDescent="0.2">
      <c r="A5" s="275" t="s">
        <v>418</v>
      </c>
      <c r="B5" s="276"/>
      <c r="C5" s="276" t="s">
        <v>418</v>
      </c>
      <c r="D5" s="276" t="s">
        <v>418</v>
      </c>
      <c r="E5" s="276" t="s">
        <v>864</v>
      </c>
      <c r="F5" s="276" t="s">
        <v>864</v>
      </c>
      <c r="G5" s="276" t="s">
        <v>545</v>
      </c>
      <c r="H5" s="276" t="s">
        <v>545</v>
      </c>
      <c r="I5" s="277" t="s">
        <v>24</v>
      </c>
      <c r="J5" s="276" t="s">
        <v>903</v>
      </c>
      <c r="K5" s="277" t="s">
        <v>903</v>
      </c>
      <c r="L5" s="276" t="s">
        <v>584</v>
      </c>
      <c r="M5" s="277" t="s">
        <v>584</v>
      </c>
      <c r="N5" s="278" t="s">
        <v>402</v>
      </c>
      <c r="O5" s="277" t="s">
        <v>402</v>
      </c>
      <c r="P5" s="278" t="s">
        <v>826</v>
      </c>
      <c r="Q5" s="277" t="s">
        <v>826</v>
      </c>
      <c r="R5" s="276" t="s">
        <v>1594</v>
      </c>
      <c r="S5" s="279" t="s">
        <v>82</v>
      </c>
      <c r="T5" s="278" t="s">
        <v>82</v>
      </c>
      <c r="U5" s="279" t="s">
        <v>1785</v>
      </c>
      <c r="V5" s="279" t="s">
        <v>1918</v>
      </c>
      <c r="W5" s="279" t="s">
        <v>2003</v>
      </c>
      <c r="X5" s="279" t="s">
        <v>2084</v>
      </c>
      <c r="Y5" s="279" t="s">
        <v>2163</v>
      </c>
      <c r="Z5" s="357" t="s">
        <v>2290</v>
      </c>
      <c r="AA5" s="357" t="s">
        <v>2507</v>
      </c>
    </row>
    <row r="6" spans="1:28" s="32" customFormat="1" x14ac:dyDescent="0.2">
      <c r="A6" s="268" t="s">
        <v>837</v>
      </c>
      <c r="B6" s="249"/>
      <c r="C6" s="249" t="s">
        <v>279</v>
      </c>
      <c r="D6" s="249" t="s">
        <v>1444</v>
      </c>
      <c r="E6" s="249">
        <v>1</v>
      </c>
      <c r="F6" s="249" t="s">
        <v>250</v>
      </c>
      <c r="G6" s="249" t="s">
        <v>251</v>
      </c>
      <c r="H6" s="249" t="s">
        <v>250</v>
      </c>
      <c r="I6" s="250" t="s">
        <v>251</v>
      </c>
      <c r="J6" s="250" t="s">
        <v>251</v>
      </c>
      <c r="K6" s="250" t="s">
        <v>250</v>
      </c>
      <c r="L6" s="250" t="s">
        <v>251</v>
      </c>
      <c r="M6" s="250" t="s">
        <v>250</v>
      </c>
      <c r="N6" s="250" t="s">
        <v>251</v>
      </c>
      <c r="O6" s="250" t="s">
        <v>250</v>
      </c>
      <c r="P6" s="250" t="s">
        <v>251</v>
      </c>
      <c r="Q6" s="250" t="s">
        <v>250</v>
      </c>
      <c r="R6" s="250" t="s">
        <v>251</v>
      </c>
      <c r="S6" s="251" t="s">
        <v>250</v>
      </c>
      <c r="T6" s="252" t="s">
        <v>251</v>
      </c>
      <c r="U6" s="251" t="s">
        <v>250</v>
      </c>
      <c r="V6" s="251" t="s">
        <v>250</v>
      </c>
      <c r="W6" s="251" t="s">
        <v>250</v>
      </c>
      <c r="X6" s="251" t="s">
        <v>250</v>
      </c>
      <c r="Y6" s="251" t="s">
        <v>250</v>
      </c>
      <c r="Z6" s="358" t="s">
        <v>251</v>
      </c>
      <c r="AA6" s="358" t="s">
        <v>251</v>
      </c>
    </row>
    <row r="7" spans="1:28" s="32" customFormat="1" x14ac:dyDescent="0.2">
      <c r="A7" s="268"/>
      <c r="B7" s="249"/>
      <c r="C7" s="249"/>
      <c r="D7" s="249"/>
      <c r="E7" s="249"/>
      <c r="F7" s="249"/>
      <c r="G7" s="249"/>
      <c r="H7" s="249"/>
      <c r="I7" s="250"/>
      <c r="J7" s="250"/>
      <c r="K7" s="250"/>
      <c r="L7" s="250"/>
      <c r="M7" s="250"/>
      <c r="N7" s="74"/>
      <c r="O7" s="133"/>
      <c r="P7" s="133"/>
      <c r="Q7" s="133"/>
      <c r="R7" s="248"/>
      <c r="S7" s="74"/>
      <c r="T7" s="74"/>
      <c r="U7" s="74"/>
      <c r="V7" s="74"/>
      <c r="W7" s="74"/>
      <c r="X7" s="74"/>
      <c r="Y7" s="74"/>
      <c r="Z7" s="185"/>
      <c r="AA7" s="185"/>
    </row>
    <row r="8" spans="1:28" s="32" customFormat="1" x14ac:dyDescent="0.2">
      <c r="A8" s="569" t="s">
        <v>1427</v>
      </c>
      <c r="B8" s="570"/>
      <c r="C8" s="570"/>
      <c r="D8" s="570"/>
      <c r="E8" s="570"/>
      <c r="F8" s="570"/>
      <c r="G8" s="570"/>
      <c r="H8" s="570"/>
      <c r="I8" s="570"/>
      <c r="J8" s="570"/>
      <c r="K8" s="570"/>
      <c r="L8" s="570"/>
      <c r="M8" s="570"/>
      <c r="N8" s="570"/>
      <c r="O8" s="253"/>
      <c r="P8" s="253"/>
      <c r="Q8" s="253"/>
      <c r="R8" s="248"/>
      <c r="S8" s="74"/>
      <c r="T8" s="74"/>
      <c r="U8" s="74"/>
      <c r="V8" s="74"/>
      <c r="W8" s="74"/>
      <c r="X8" s="74"/>
      <c r="Y8" s="74"/>
      <c r="Z8" s="185"/>
      <c r="AA8" s="185"/>
    </row>
    <row r="9" spans="1:28" s="32" customFormat="1" x14ac:dyDescent="0.2">
      <c r="A9" s="268"/>
      <c r="B9" s="249"/>
      <c r="C9" s="249"/>
      <c r="D9" s="249"/>
      <c r="E9" s="249"/>
      <c r="F9" s="249"/>
      <c r="G9" s="249"/>
      <c r="H9" s="249"/>
      <c r="I9" s="250"/>
      <c r="J9" s="250"/>
      <c r="K9" s="250"/>
      <c r="L9" s="250"/>
      <c r="M9" s="250"/>
      <c r="N9" s="74"/>
      <c r="O9" s="133"/>
      <c r="P9" s="133"/>
      <c r="Q9" s="133"/>
      <c r="R9" s="248"/>
      <c r="S9" s="74"/>
      <c r="T9" s="74"/>
      <c r="U9" s="74"/>
      <c r="V9" s="74"/>
      <c r="W9" s="74"/>
      <c r="X9" s="74"/>
      <c r="Y9" s="74"/>
      <c r="Z9" s="185"/>
      <c r="AA9" s="185"/>
    </row>
    <row r="10" spans="1:28" x14ac:dyDescent="0.2">
      <c r="A10" s="132">
        <v>10171200</v>
      </c>
      <c r="B10" s="60">
        <v>3189</v>
      </c>
      <c r="C10" s="60" t="s">
        <v>1386</v>
      </c>
      <c r="D10" s="60" t="s">
        <v>249</v>
      </c>
      <c r="E10" s="63">
        <v>0</v>
      </c>
      <c r="F10" s="63">
        <v>104127.35</v>
      </c>
      <c r="G10" s="63"/>
      <c r="H10" s="63">
        <v>142060.12</v>
      </c>
      <c r="I10" s="63">
        <v>0</v>
      </c>
      <c r="J10" s="4">
        <v>300000</v>
      </c>
      <c r="K10" s="63">
        <v>300000</v>
      </c>
      <c r="L10" s="4">
        <v>0</v>
      </c>
      <c r="M10" s="63">
        <v>0</v>
      </c>
      <c r="N10" s="74">
        <v>0</v>
      </c>
      <c r="O10" s="133"/>
      <c r="P10" s="74">
        <v>0</v>
      </c>
      <c r="Q10" s="133"/>
      <c r="R10" s="74">
        <v>0</v>
      </c>
      <c r="S10" s="74">
        <v>68000</v>
      </c>
      <c r="T10" s="74">
        <v>68000</v>
      </c>
      <c r="U10" s="4">
        <v>200000</v>
      </c>
      <c r="V10" s="4">
        <v>250000</v>
      </c>
      <c r="W10" s="4">
        <v>250000</v>
      </c>
      <c r="X10" s="4">
        <v>250000</v>
      </c>
      <c r="Y10" s="4">
        <v>250000</v>
      </c>
      <c r="Z10" s="151">
        <v>0</v>
      </c>
      <c r="AA10" s="151">
        <v>0</v>
      </c>
      <c r="AB10" s="3">
        <f>+AA10-Z10</f>
        <v>0</v>
      </c>
    </row>
    <row r="11" spans="1:28" x14ac:dyDescent="0.2">
      <c r="A11" s="134">
        <v>10172010</v>
      </c>
      <c r="B11" s="135">
        <v>3351</v>
      </c>
      <c r="C11" s="135" t="s">
        <v>422</v>
      </c>
      <c r="D11" s="135" t="s">
        <v>249</v>
      </c>
      <c r="E11" s="136">
        <v>1194694</v>
      </c>
      <c r="F11" s="136">
        <v>1194694</v>
      </c>
      <c r="G11" s="136">
        <v>1194694</v>
      </c>
      <c r="H11" s="136">
        <v>1267455.03</v>
      </c>
      <c r="I11" s="136">
        <f>142500+1112686</f>
        <v>1255186</v>
      </c>
      <c r="J11" s="137">
        <f>95101+1317167</f>
        <v>1412268</v>
      </c>
      <c r="K11" s="136">
        <v>1294577.2</v>
      </c>
      <c r="L11" s="137">
        <v>1168710</v>
      </c>
      <c r="M11" s="136">
        <v>1168710.3500000001</v>
      </c>
      <c r="N11" s="137">
        <v>1168710</v>
      </c>
      <c r="O11" s="136">
        <v>1166428.99</v>
      </c>
      <c r="P11" s="137">
        <v>1138772</v>
      </c>
      <c r="Q11" s="136">
        <v>1138771.8500000001</v>
      </c>
      <c r="R11" s="137">
        <v>1138772</v>
      </c>
      <c r="S11" s="137">
        <v>1133757.8</v>
      </c>
      <c r="T11" s="137">
        <v>1133758</v>
      </c>
      <c r="U11" s="137">
        <v>1309094.83</v>
      </c>
      <c r="V11" s="137">
        <v>1308110.55</v>
      </c>
      <c r="W11" s="137">
        <v>1528111</v>
      </c>
      <c r="X11" s="137">
        <v>1549898</v>
      </c>
      <c r="Y11" s="137">
        <v>1997671</v>
      </c>
      <c r="Z11" s="152">
        <v>2366927</v>
      </c>
      <c r="AA11" s="152">
        <v>2370000</v>
      </c>
      <c r="AB11" s="3">
        <f t="shared" ref="AB11:AB74" si="0">+AA11-Z11</f>
        <v>3073</v>
      </c>
    </row>
    <row r="12" spans="1:28" x14ac:dyDescent="0.2">
      <c r="A12" s="132">
        <v>10172030</v>
      </c>
      <c r="B12" s="60">
        <v>3359</v>
      </c>
      <c r="C12" s="60" t="s">
        <v>482</v>
      </c>
      <c r="D12" s="60" t="s">
        <v>249</v>
      </c>
      <c r="E12" s="63">
        <v>4078</v>
      </c>
      <c r="F12" s="63">
        <v>4078.26</v>
      </c>
      <c r="G12" s="63">
        <v>4078</v>
      </c>
      <c r="H12" s="63">
        <v>4049.33</v>
      </c>
      <c r="I12" s="63">
        <v>0</v>
      </c>
      <c r="J12" s="4">
        <v>1251.3599999999999</v>
      </c>
      <c r="K12" s="63">
        <v>1251.3599999999999</v>
      </c>
      <c r="L12" s="4">
        <v>6377</v>
      </c>
      <c r="M12" s="63">
        <v>6377.44</v>
      </c>
      <c r="N12" s="4">
        <v>1541.0722580645163</v>
      </c>
      <c r="O12" s="63">
        <v>3756.93</v>
      </c>
      <c r="P12" s="4">
        <v>3757</v>
      </c>
      <c r="Q12" s="63">
        <v>2145.4</v>
      </c>
      <c r="R12" s="4">
        <v>3757</v>
      </c>
      <c r="S12" s="4">
        <v>3356.89</v>
      </c>
      <c r="T12" s="4">
        <v>3357</v>
      </c>
      <c r="U12" s="4">
        <v>946.11</v>
      </c>
      <c r="V12" s="4">
        <v>1947.13</v>
      </c>
      <c r="W12" s="4">
        <v>2050</v>
      </c>
      <c r="X12" s="4">
        <v>2616</v>
      </c>
      <c r="Y12" s="4">
        <v>2191</v>
      </c>
      <c r="Z12" s="151">
        <v>2474</v>
      </c>
      <c r="AA12" s="151">
        <v>2200</v>
      </c>
      <c r="AB12" s="3">
        <f t="shared" si="0"/>
        <v>-274</v>
      </c>
    </row>
    <row r="13" spans="1:28" s="300" customFormat="1" x14ac:dyDescent="0.2">
      <c r="A13" s="134">
        <v>10172280</v>
      </c>
      <c r="B13" s="181" t="s">
        <v>2165</v>
      </c>
      <c r="C13" s="135" t="s">
        <v>2166</v>
      </c>
      <c r="D13" s="135" t="s">
        <v>249</v>
      </c>
      <c r="E13" s="136"/>
      <c r="F13" s="136"/>
      <c r="G13" s="136"/>
      <c r="H13" s="136"/>
      <c r="I13" s="136"/>
      <c r="J13" s="137"/>
      <c r="K13" s="136"/>
      <c r="L13" s="137"/>
      <c r="M13" s="136"/>
      <c r="N13" s="137"/>
      <c r="O13" s="136"/>
      <c r="P13" s="137"/>
      <c r="Q13" s="136"/>
      <c r="R13" s="137"/>
      <c r="S13" s="137"/>
      <c r="T13" s="137"/>
      <c r="U13" s="137">
        <v>0</v>
      </c>
      <c r="V13" s="137">
        <v>0</v>
      </c>
      <c r="W13" s="137">
        <v>207152</v>
      </c>
      <c r="X13" s="137">
        <v>694177</v>
      </c>
      <c r="Y13" s="137">
        <v>276408</v>
      </c>
      <c r="Z13" s="152">
        <v>0</v>
      </c>
      <c r="AA13" s="152">
        <v>0</v>
      </c>
      <c r="AB13" s="3">
        <f t="shared" si="0"/>
        <v>0</v>
      </c>
    </row>
    <row r="14" spans="1:28" x14ac:dyDescent="0.2">
      <c r="A14" s="132">
        <v>10172290</v>
      </c>
      <c r="B14" s="60">
        <v>3359</v>
      </c>
      <c r="C14" s="60" t="s">
        <v>390</v>
      </c>
      <c r="D14" s="60" t="s">
        <v>249</v>
      </c>
      <c r="E14" s="63">
        <v>0</v>
      </c>
      <c r="F14" s="63">
        <v>0</v>
      </c>
      <c r="G14" s="63">
        <v>0</v>
      </c>
      <c r="H14" s="63">
        <v>0</v>
      </c>
      <c r="I14" s="63">
        <v>0</v>
      </c>
      <c r="J14" s="4">
        <v>0</v>
      </c>
      <c r="K14" s="63">
        <v>104174.74</v>
      </c>
      <c r="L14" s="4">
        <v>0</v>
      </c>
      <c r="M14" s="63">
        <v>133262.10999999999</v>
      </c>
      <c r="N14" s="4">
        <v>0</v>
      </c>
      <c r="O14" s="63">
        <v>20427.669999999998</v>
      </c>
      <c r="P14" s="4">
        <v>0</v>
      </c>
      <c r="Q14" s="63">
        <v>0</v>
      </c>
      <c r="R14" s="4">
        <v>0</v>
      </c>
      <c r="S14" s="4"/>
      <c r="T14" s="4">
        <v>0</v>
      </c>
      <c r="U14" s="4">
        <v>123710.25</v>
      </c>
      <c r="V14" s="4">
        <v>451252.44</v>
      </c>
      <c r="W14" s="4">
        <v>2661468</v>
      </c>
      <c r="X14" s="4">
        <v>245056</v>
      </c>
      <c r="Y14" s="4">
        <v>244924</v>
      </c>
      <c r="Z14" s="151">
        <f>176505+4757</f>
        <v>181262</v>
      </c>
      <c r="AA14" s="151">
        <v>0</v>
      </c>
      <c r="AB14" s="3">
        <f t="shared" si="0"/>
        <v>-181262</v>
      </c>
    </row>
    <row r="15" spans="1:28" x14ac:dyDescent="0.2">
      <c r="A15" s="134">
        <v>10172500</v>
      </c>
      <c r="B15" s="135">
        <v>3311</v>
      </c>
      <c r="C15" s="135" t="s">
        <v>10</v>
      </c>
      <c r="D15" s="135" t="s">
        <v>249</v>
      </c>
      <c r="E15" s="136">
        <v>0</v>
      </c>
      <c r="F15" s="136">
        <v>137679.03</v>
      </c>
      <c r="G15" s="136">
        <v>0</v>
      </c>
      <c r="H15" s="136">
        <v>213957.33</v>
      </c>
      <c r="I15" s="136">
        <v>0</v>
      </c>
      <c r="J15" s="137">
        <v>0</v>
      </c>
      <c r="K15" s="136"/>
      <c r="L15" s="137">
        <v>0</v>
      </c>
      <c r="M15" s="136">
        <v>125359.01</v>
      </c>
      <c r="N15" s="137">
        <v>0</v>
      </c>
      <c r="O15" s="136">
        <v>95853.22</v>
      </c>
      <c r="P15" s="137">
        <v>0</v>
      </c>
      <c r="Q15" s="136">
        <v>325532.37</v>
      </c>
      <c r="R15" s="137">
        <v>0</v>
      </c>
      <c r="S15" s="137"/>
      <c r="T15" s="137">
        <v>0</v>
      </c>
      <c r="U15" s="137">
        <v>0</v>
      </c>
      <c r="V15" s="137">
        <v>0</v>
      </c>
      <c r="W15" s="137">
        <v>0</v>
      </c>
      <c r="X15" s="137">
        <v>0</v>
      </c>
      <c r="Y15" s="137">
        <v>1463166</v>
      </c>
      <c r="Z15" s="152">
        <v>0</v>
      </c>
      <c r="AA15" s="152">
        <v>0</v>
      </c>
      <c r="AB15" s="3">
        <f t="shared" si="0"/>
        <v>0</v>
      </c>
    </row>
    <row r="16" spans="1:28" x14ac:dyDescent="0.2">
      <c r="A16" s="132">
        <v>10173010</v>
      </c>
      <c r="B16" s="60">
        <v>3290</v>
      </c>
      <c r="C16" s="60" t="s">
        <v>483</v>
      </c>
      <c r="D16" s="60" t="s">
        <v>249</v>
      </c>
      <c r="E16" s="63">
        <v>40</v>
      </c>
      <c r="F16" s="63">
        <v>40</v>
      </c>
      <c r="G16" s="63">
        <v>40</v>
      </c>
      <c r="H16" s="63">
        <v>0</v>
      </c>
      <c r="I16" s="63">
        <v>40</v>
      </c>
      <c r="J16" s="4">
        <v>40</v>
      </c>
      <c r="K16" s="63">
        <v>40</v>
      </c>
      <c r="L16" s="4">
        <v>40</v>
      </c>
      <c r="M16" s="63">
        <v>40</v>
      </c>
      <c r="N16" s="4">
        <v>55.483870967741936</v>
      </c>
      <c r="O16" s="63">
        <v>40</v>
      </c>
      <c r="P16" s="4">
        <v>48.727272727272727</v>
      </c>
      <c r="Q16" s="63">
        <v>40</v>
      </c>
      <c r="R16" s="4">
        <v>50</v>
      </c>
      <c r="S16" s="4">
        <v>40</v>
      </c>
      <c r="T16" s="4">
        <v>50</v>
      </c>
      <c r="U16" s="4">
        <v>40</v>
      </c>
      <c r="V16" s="4">
        <v>40</v>
      </c>
      <c r="W16" s="4">
        <v>40</v>
      </c>
      <c r="X16" s="4">
        <v>40</v>
      </c>
      <c r="Y16" s="4">
        <v>0</v>
      </c>
      <c r="Z16" s="151">
        <v>40</v>
      </c>
      <c r="AA16" s="151">
        <v>40</v>
      </c>
      <c r="AB16" s="3">
        <f t="shared" si="0"/>
        <v>0</v>
      </c>
    </row>
    <row r="17" spans="1:28" x14ac:dyDescent="0.2">
      <c r="A17" s="134">
        <v>10173030</v>
      </c>
      <c r="B17" s="135">
        <v>3290</v>
      </c>
      <c r="C17" s="135" t="s">
        <v>484</v>
      </c>
      <c r="D17" s="135" t="s">
        <v>249</v>
      </c>
      <c r="E17" s="136">
        <v>1200</v>
      </c>
      <c r="F17" s="136">
        <v>1850</v>
      </c>
      <c r="G17" s="136">
        <v>1200</v>
      </c>
      <c r="H17" s="136">
        <v>3010</v>
      </c>
      <c r="I17" s="136">
        <v>1200</v>
      </c>
      <c r="J17" s="137">
        <v>1500</v>
      </c>
      <c r="K17" s="136">
        <v>3583.36</v>
      </c>
      <c r="L17" s="137">
        <v>1500</v>
      </c>
      <c r="M17" s="136">
        <v>1450</v>
      </c>
      <c r="N17" s="137">
        <v>3054.6374193548386</v>
      </c>
      <c r="O17" s="136">
        <v>2150</v>
      </c>
      <c r="P17" s="137">
        <v>2354.4320000000002</v>
      </c>
      <c r="Q17" s="136">
        <v>1050</v>
      </c>
      <c r="R17" s="137">
        <v>2150</v>
      </c>
      <c r="S17" s="137">
        <v>2350</v>
      </c>
      <c r="T17" s="137">
        <v>1875</v>
      </c>
      <c r="U17" s="137">
        <v>2150</v>
      </c>
      <c r="V17" s="137">
        <v>1500</v>
      </c>
      <c r="W17" s="137">
        <v>1400</v>
      </c>
      <c r="X17" s="137">
        <v>2250</v>
      </c>
      <c r="Y17" s="137">
        <v>50</v>
      </c>
      <c r="Z17" s="152">
        <v>2500</v>
      </c>
      <c r="AA17" s="152">
        <v>500</v>
      </c>
      <c r="AB17" s="3">
        <f t="shared" si="0"/>
        <v>-2000</v>
      </c>
    </row>
    <row r="18" spans="1:28" x14ac:dyDescent="0.2">
      <c r="A18" s="132">
        <v>10173110</v>
      </c>
      <c r="B18" s="60">
        <v>3290</v>
      </c>
      <c r="C18" s="60" t="s">
        <v>485</v>
      </c>
      <c r="D18" s="60" t="s">
        <v>249</v>
      </c>
      <c r="E18" s="63">
        <v>625</v>
      </c>
      <c r="F18" s="63">
        <v>625</v>
      </c>
      <c r="G18" s="63">
        <v>625</v>
      </c>
      <c r="H18" s="63">
        <v>625</v>
      </c>
      <c r="I18" s="63">
        <v>625</v>
      </c>
      <c r="J18" s="4">
        <v>625</v>
      </c>
      <c r="K18" s="63">
        <v>625</v>
      </c>
      <c r="L18" s="4">
        <v>625</v>
      </c>
      <c r="M18" s="63">
        <v>625</v>
      </c>
      <c r="N18" s="4">
        <v>625</v>
      </c>
      <c r="O18" s="63">
        <v>625</v>
      </c>
      <c r="P18" s="4">
        <v>625</v>
      </c>
      <c r="Q18" s="63">
        <v>625</v>
      </c>
      <c r="R18" s="4">
        <v>625</v>
      </c>
      <c r="S18" s="4">
        <v>625</v>
      </c>
      <c r="T18" s="4">
        <v>625</v>
      </c>
      <c r="U18" s="4">
        <v>625</v>
      </c>
      <c r="V18" s="4">
        <v>875</v>
      </c>
      <c r="W18" s="4">
        <v>625</v>
      </c>
      <c r="X18" s="4">
        <v>625</v>
      </c>
      <c r="Y18" s="4">
        <v>0</v>
      </c>
      <c r="Z18" s="151">
        <v>650</v>
      </c>
      <c r="AA18" s="151">
        <v>250</v>
      </c>
      <c r="AB18" s="3">
        <f t="shared" si="0"/>
        <v>-400</v>
      </c>
    </row>
    <row r="19" spans="1:28" x14ac:dyDescent="0.2">
      <c r="A19" s="134">
        <v>10173180</v>
      </c>
      <c r="B19" s="135">
        <v>3290</v>
      </c>
      <c r="C19" s="135" t="s">
        <v>526</v>
      </c>
      <c r="D19" s="135" t="s">
        <v>249</v>
      </c>
      <c r="E19" s="136">
        <v>475</v>
      </c>
      <c r="F19" s="136">
        <v>600</v>
      </c>
      <c r="G19" s="136">
        <v>475</v>
      </c>
      <c r="H19" s="136">
        <v>600</v>
      </c>
      <c r="I19" s="136">
        <v>475</v>
      </c>
      <c r="J19" s="137">
        <v>600</v>
      </c>
      <c r="K19" s="136">
        <v>900</v>
      </c>
      <c r="L19" s="137">
        <v>600</v>
      </c>
      <c r="M19" s="136">
        <v>1450</v>
      </c>
      <c r="N19" s="137">
        <v>1250</v>
      </c>
      <c r="O19" s="136">
        <v>2376</v>
      </c>
      <c r="P19" s="137">
        <v>1027.2727272727273</v>
      </c>
      <c r="Q19" s="136">
        <v>1250</v>
      </c>
      <c r="R19" s="137">
        <v>2375</v>
      </c>
      <c r="S19" s="137">
        <v>5501</v>
      </c>
      <c r="T19" s="137">
        <v>1500</v>
      </c>
      <c r="U19" s="137">
        <v>4260</v>
      </c>
      <c r="V19" s="137">
        <v>11751</v>
      </c>
      <c r="W19" s="137">
        <v>4000</v>
      </c>
      <c r="X19" s="137">
        <v>3500</v>
      </c>
      <c r="Y19" s="137">
        <v>11296</v>
      </c>
      <c r="Z19" s="152">
        <v>4000</v>
      </c>
      <c r="AA19" s="152">
        <v>10000</v>
      </c>
      <c r="AB19" s="3">
        <f t="shared" si="0"/>
        <v>6000</v>
      </c>
    </row>
    <row r="20" spans="1:28" x14ac:dyDescent="0.2">
      <c r="A20" s="132">
        <v>10174290</v>
      </c>
      <c r="B20" s="60">
        <v>3401</v>
      </c>
      <c r="C20" s="60" t="s">
        <v>527</v>
      </c>
      <c r="D20" s="60" t="s">
        <v>249</v>
      </c>
      <c r="E20" s="63">
        <v>100</v>
      </c>
      <c r="F20" s="63">
        <v>47.5</v>
      </c>
      <c r="G20" s="63">
        <v>100</v>
      </c>
      <c r="H20" s="63">
        <v>0.78</v>
      </c>
      <c r="I20" s="63">
        <v>100</v>
      </c>
      <c r="J20" s="4">
        <v>100</v>
      </c>
      <c r="K20" s="63">
        <v>118.5</v>
      </c>
      <c r="L20" s="4">
        <v>30</v>
      </c>
      <c r="M20" s="63">
        <v>7.5</v>
      </c>
      <c r="N20" s="4">
        <v>76.039354838709684</v>
      </c>
      <c r="O20" s="63">
        <v>53.5</v>
      </c>
      <c r="P20" s="4">
        <v>370.13127272727274</v>
      </c>
      <c r="Q20" s="63">
        <v>19</v>
      </c>
      <c r="R20" s="4">
        <v>50</v>
      </c>
      <c r="S20" s="4">
        <v>35</v>
      </c>
      <c r="T20" s="4">
        <v>50</v>
      </c>
      <c r="U20" s="4">
        <v>0</v>
      </c>
      <c r="V20" s="4">
        <v>0.5</v>
      </c>
      <c r="W20" s="4">
        <v>0.5</v>
      </c>
      <c r="X20" s="4">
        <v>12</v>
      </c>
      <c r="Y20" s="4">
        <v>10</v>
      </c>
      <c r="Z20" s="151">
        <v>1</v>
      </c>
      <c r="AA20" s="151">
        <v>1</v>
      </c>
      <c r="AB20" s="3">
        <f t="shared" si="0"/>
        <v>0</v>
      </c>
    </row>
    <row r="21" spans="1:28" x14ac:dyDescent="0.2">
      <c r="A21" s="134">
        <v>10174390</v>
      </c>
      <c r="B21" s="135">
        <v>3401</v>
      </c>
      <c r="C21" s="135" t="s">
        <v>590</v>
      </c>
      <c r="D21" s="135" t="s">
        <v>249</v>
      </c>
      <c r="E21" s="136">
        <v>176813</v>
      </c>
      <c r="F21" s="136">
        <v>176813</v>
      </c>
      <c r="G21" s="136">
        <v>250861</v>
      </c>
      <c r="H21" s="136">
        <v>250861</v>
      </c>
      <c r="I21" s="136">
        <v>282053</v>
      </c>
      <c r="J21" s="137">
        <v>240185</v>
      </c>
      <c r="K21" s="136">
        <v>240185</v>
      </c>
      <c r="L21" s="137">
        <v>292280</v>
      </c>
      <c r="M21" s="136">
        <v>292280</v>
      </c>
      <c r="N21" s="137">
        <v>305313</v>
      </c>
      <c r="O21" s="136">
        <v>305313</v>
      </c>
      <c r="P21" s="137">
        <v>264206</v>
      </c>
      <c r="Q21" s="136">
        <v>264206</v>
      </c>
      <c r="R21" s="137">
        <v>259672</v>
      </c>
      <c r="S21" s="137">
        <v>290765</v>
      </c>
      <c r="T21" s="137">
        <v>290765</v>
      </c>
      <c r="U21" s="137">
        <v>276567</v>
      </c>
      <c r="V21" s="137">
        <v>282613</v>
      </c>
      <c r="W21" s="137">
        <v>329374</v>
      </c>
      <c r="X21" s="137">
        <v>317687</v>
      </c>
      <c r="Y21" s="137">
        <v>355250</v>
      </c>
      <c r="Z21" s="152">
        <v>335916</v>
      </c>
      <c r="AA21" s="152">
        <v>341673</v>
      </c>
      <c r="AB21" s="3">
        <f t="shared" si="0"/>
        <v>5757</v>
      </c>
    </row>
    <row r="22" spans="1:28" x14ac:dyDescent="0.2">
      <c r="A22" s="132">
        <v>10174400</v>
      </c>
      <c r="B22" s="60">
        <v>3401</v>
      </c>
      <c r="C22" s="60" t="s">
        <v>879</v>
      </c>
      <c r="D22" s="60" t="s">
        <v>249</v>
      </c>
      <c r="E22" s="63"/>
      <c r="F22" s="63">
        <v>0</v>
      </c>
      <c r="G22" s="63"/>
      <c r="H22" s="63">
        <v>0</v>
      </c>
      <c r="I22" s="63">
        <v>17342</v>
      </c>
      <c r="J22" s="4">
        <v>15791</v>
      </c>
      <c r="K22" s="63">
        <v>15791</v>
      </c>
      <c r="L22" s="4">
        <v>17359</v>
      </c>
      <c r="M22" s="63">
        <v>17359</v>
      </c>
      <c r="N22" s="4">
        <v>14246</v>
      </c>
      <c r="O22" s="63">
        <v>14246</v>
      </c>
      <c r="P22" s="4">
        <v>22745</v>
      </c>
      <c r="Q22" s="63">
        <v>22745</v>
      </c>
      <c r="R22" s="4">
        <v>17102</v>
      </c>
      <c r="S22" s="4">
        <v>18304</v>
      </c>
      <c r="T22" s="4">
        <v>18304</v>
      </c>
      <c r="U22" s="4">
        <v>17473</v>
      </c>
      <c r="V22" s="4">
        <v>16787</v>
      </c>
      <c r="W22" s="4">
        <v>20606</v>
      </c>
      <c r="X22" s="4">
        <v>19905</v>
      </c>
      <c r="Y22" s="4">
        <v>20945</v>
      </c>
      <c r="Z22" s="151">
        <v>21806</v>
      </c>
      <c r="AA22" s="151">
        <v>22915</v>
      </c>
      <c r="AB22" s="3">
        <f t="shared" si="0"/>
        <v>1109</v>
      </c>
    </row>
    <row r="23" spans="1:28" x14ac:dyDescent="0.2">
      <c r="A23" s="134">
        <v>10174410</v>
      </c>
      <c r="B23" s="135">
        <v>3401</v>
      </c>
      <c r="C23" s="135" t="s">
        <v>839</v>
      </c>
      <c r="D23" s="135" t="s">
        <v>249</v>
      </c>
      <c r="E23" s="136">
        <v>0</v>
      </c>
      <c r="F23" s="136">
        <v>0</v>
      </c>
      <c r="G23" s="136">
        <v>0</v>
      </c>
      <c r="H23" s="136">
        <v>0</v>
      </c>
      <c r="I23" s="136">
        <v>0</v>
      </c>
      <c r="J23" s="137">
        <v>73056</v>
      </c>
      <c r="K23" s="136">
        <v>52747.14</v>
      </c>
      <c r="L23" s="137">
        <v>83975</v>
      </c>
      <c r="M23" s="136">
        <v>0</v>
      </c>
      <c r="N23" s="137">
        <v>77562</v>
      </c>
      <c r="O23" s="136">
        <v>77562</v>
      </c>
      <c r="P23" s="137">
        <v>85639</v>
      </c>
      <c r="Q23" s="136">
        <v>85639</v>
      </c>
      <c r="R23" s="137">
        <v>69802</v>
      </c>
      <c r="S23" s="137">
        <v>83097</v>
      </c>
      <c r="T23" s="137">
        <v>83097</v>
      </c>
      <c r="U23" s="137">
        <v>50690</v>
      </c>
      <c r="V23" s="137">
        <v>48060</v>
      </c>
      <c r="W23" s="137">
        <v>53873</v>
      </c>
      <c r="X23" s="137">
        <v>43295</v>
      </c>
      <c r="Y23" s="137">
        <v>46787</v>
      </c>
      <c r="Z23" s="152">
        <v>52037</v>
      </c>
      <c r="AA23" s="152">
        <v>51312</v>
      </c>
      <c r="AB23" s="3">
        <f t="shared" si="0"/>
        <v>-725</v>
      </c>
    </row>
    <row r="24" spans="1:28" x14ac:dyDescent="0.2">
      <c r="A24" s="132">
        <v>10174420</v>
      </c>
      <c r="B24" s="60">
        <v>3401</v>
      </c>
      <c r="C24" s="60" t="s">
        <v>401</v>
      </c>
      <c r="D24" s="60" t="s">
        <v>249</v>
      </c>
      <c r="E24" s="63">
        <v>0</v>
      </c>
      <c r="F24" s="63"/>
      <c r="G24" s="63"/>
      <c r="H24" s="63"/>
      <c r="I24" s="63">
        <v>0</v>
      </c>
      <c r="J24" s="4">
        <v>0</v>
      </c>
      <c r="K24" s="63">
        <v>0</v>
      </c>
      <c r="L24" s="4">
        <v>20040</v>
      </c>
      <c r="M24" s="63">
        <v>0</v>
      </c>
      <c r="N24" s="4">
        <v>21271</v>
      </c>
      <c r="O24" s="63">
        <v>21271</v>
      </c>
      <c r="P24" s="4">
        <v>24764</v>
      </c>
      <c r="Q24" s="63">
        <v>24764</v>
      </c>
      <c r="R24" s="4">
        <v>33177</v>
      </c>
      <c r="S24" s="4">
        <v>36768</v>
      </c>
      <c r="T24" s="4">
        <v>36768</v>
      </c>
      <c r="U24" s="4">
        <v>38054</v>
      </c>
      <c r="V24" s="4">
        <v>40295</v>
      </c>
      <c r="W24" s="4">
        <v>59166</v>
      </c>
      <c r="X24" s="4">
        <v>-5090</v>
      </c>
      <c r="Y24" s="4">
        <v>57524</v>
      </c>
      <c r="Z24" s="151">
        <v>57994</v>
      </c>
      <c r="AA24" s="151">
        <v>59191</v>
      </c>
      <c r="AB24" s="3">
        <f t="shared" si="0"/>
        <v>1197</v>
      </c>
    </row>
    <row r="25" spans="1:28" x14ac:dyDescent="0.2">
      <c r="A25" s="134">
        <v>10174990</v>
      </c>
      <c r="B25" s="135">
        <v>3401</v>
      </c>
      <c r="C25" s="135" t="s">
        <v>1060</v>
      </c>
      <c r="D25" s="135" t="s">
        <v>249</v>
      </c>
      <c r="E25" s="136">
        <v>2000</v>
      </c>
      <c r="F25" s="136">
        <f>0.09+36346.77</f>
        <v>36346.859999999993</v>
      </c>
      <c r="G25" s="136">
        <v>2000</v>
      </c>
      <c r="H25" s="136">
        <v>767.76</v>
      </c>
      <c r="I25" s="136">
        <v>2000</v>
      </c>
      <c r="J25" s="137">
        <v>1000</v>
      </c>
      <c r="K25" s="136">
        <v>111338.11</v>
      </c>
      <c r="L25" s="137">
        <v>1000</v>
      </c>
      <c r="M25" s="136">
        <v>10563.93</v>
      </c>
      <c r="N25" s="137">
        <v>2000</v>
      </c>
      <c r="O25" s="136">
        <v>13856.11</v>
      </c>
      <c r="P25" s="137">
        <v>5717.6418181818162</v>
      </c>
      <c r="Q25" s="136">
        <v>-9188.23</v>
      </c>
      <c r="R25" s="137">
        <v>5700</v>
      </c>
      <c r="S25" s="137">
        <v>455.53</v>
      </c>
      <c r="T25" s="137">
        <v>5700</v>
      </c>
      <c r="U25" s="137">
        <v>0</v>
      </c>
      <c r="V25" s="137">
        <v>1273.21</v>
      </c>
      <c r="W25" s="137">
        <v>0</v>
      </c>
      <c r="X25" s="137">
        <v>335</v>
      </c>
      <c r="Y25" s="137">
        <v>132</v>
      </c>
      <c r="Z25" s="152">
        <v>500</v>
      </c>
      <c r="AA25" s="152">
        <v>500</v>
      </c>
      <c r="AB25" s="3">
        <f t="shared" si="0"/>
        <v>0</v>
      </c>
    </row>
    <row r="26" spans="1:28" x14ac:dyDescent="0.2">
      <c r="A26" s="132">
        <v>10178010</v>
      </c>
      <c r="B26" s="60">
        <v>3502</v>
      </c>
      <c r="C26" s="60" t="s">
        <v>1061</v>
      </c>
      <c r="D26" s="60" t="s">
        <v>249</v>
      </c>
      <c r="E26" s="63">
        <v>400000</v>
      </c>
      <c r="F26" s="63">
        <v>840526.31</v>
      </c>
      <c r="G26" s="63">
        <v>400000</v>
      </c>
      <c r="H26" s="63">
        <v>1044775.65</v>
      </c>
      <c r="I26" s="63">
        <v>600000</v>
      </c>
      <c r="J26" s="4">
        <v>600000</v>
      </c>
      <c r="K26" s="63">
        <v>237073.02</v>
      </c>
      <c r="L26" s="4">
        <v>600000</v>
      </c>
      <c r="M26" s="63">
        <v>110882.1</v>
      </c>
      <c r="N26" s="4">
        <v>275000</v>
      </c>
      <c r="O26" s="63">
        <v>96796.37</v>
      </c>
      <c r="P26" s="4">
        <f>3973+319260-474+41721</f>
        <v>364480</v>
      </c>
      <c r="Q26" s="63">
        <v>60619.59</v>
      </c>
      <c r="R26" s="4">
        <f>1768+300000</f>
        <v>301768</v>
      </c>
      <c r="S26" s="4">
        <v>36613.08</v>
      </c>
      <c r="T26" s="4">
        <f>7500+117000-315-4053</f>
        <v>120132</v>
      </c>
      <c r="U26" s="4">
        <v>433035.92</v>
      </c>
      <c r="V26" s="4">
        <v>788447.68</v>
      </c>
      <c r="W26" s="4">
        <v>530652</v>
      </c>
      <c r="X26" s="4">
        <v>69961</v>
      </c>
      <c r="Y26" s="4">
        <v>73481</v>
      </c>
      <c r="Z26" s="151">
        <v>439000</v>
      </c>
      <c r="AA26" s="151">
        <v>700000</v>
      </c>
      <c r="AB26" s="3">
        <f t="shared" si="0"/>
        <v>261000</v>
      </c>
    </row>
    <row r="27" spans="1:28" x14ac:dyDescent="0.2">
      <c r="A27" s="134">
        <v>10178240</v>
      </c>
      <c r="B27" s="135">
        <v>3503</v>
      </c>
      <c r="C27" s="135" t="s">
        <v>1062</v>
      </c>
      <c r="D27" s="135" t="s">
        <v>249</v>
      </c>
      <c r="E27" s="136">
        <v>0</v>
      </c>
      <c r="F27" s="136">
        <v>0</v>
      </c>
      <c r="G27" s="136">
        <v>0</v>
      </c>
      <c r="H27" s="136">
        <f>3846+2500</f>
        <v>6346</v>
      </c>
      <c r="I27" s="136">
        <v>0</v>
      </c>
      <c r="J27" s="137">
        <v>0</v>
      </c>
      <c r="K27" s="136">
        <v>75</v>
      </c>
      <c r="L27" s="137">
        <v>0</v>
      </c>
      <c r="M27" s="136">
        <v>2700</v>
      </c>
      <c r="N27" s="137">
        <v>0</v>
      </c>
      <c r="O27" s="136">
        <f>1583.96+5936.58</f>
        <v>7520.54</v>
      </c>
      <c r="P27" s="137">
        <v>0</v>
      </c>
      <c r="Q27" s="136">
        <f>509.74+1300</f>
        <v>1809.74</v>
      </c>
      <c r="R27" s="137">
        <v>0</v>
      </c>
      <c r="S27" s="137">
        <f>2765.94+3010.83</f>
        <v>5776.77</v>
      </c>
      <c r="T27" s="137">
        <v>0</v>
      </c>
      <c r="U27" s="137">
        <v>7507.61</v>
      </c>
      <c r="V27" s="137">
        <v>12119.04</v>
      </c>
      <c r="W27" s="137">
        <v>4390</v>
      </c>
      <c r="X27" s="137">
        <v>7919</v>
      </c>
      <c r="Y27" s="137">
        <v>4294</v>
      </c>
      <c r="Z27" s="152">
        <v>0</v>
      </c>
      <c r="AA27" s="152">
        <v>0</v>
      </c>
      <c r="AB27" s="3">
        <f t="shared" si="0"/>
        <v>0</v>
      </c>
    </row>
    <row r="28" spans="1:28" x14ac:dyDescent="0.2">
      <c r="A28" s="132">
        <v>10178320</v>
      </c>
      <c r="B28" s="60">
        <v>3503</v>
      </c>
      <c r="C28" s="60" t="s">
        <v>532</v>
      </c>
      <c r="D28" s="60" t="s">
        <v>249</v>
      </c>
      <c r="E28" s="63">
        <v>15000</v>
      </c>
      <c r="F28" s="63">
        <v>3588</v>
      </c>
      <c r="G28" s="63">
        <v>15000</v>
      </c>
      <c r="H28" s="63">
        <v>-41.09</v>
      </c>
      <c r="I28" s="63">
        <v>5000</v>
      </c>
      <c r="J28" s="4">
        <v>0</v>
      </c>
      <c r="K28" s="63"/>
      <c r="L28" s="4">
        <v>0</v>
      </c>
      <c r="M28" s="63">
        <v>3011.23</v>
      </c>
      <c r="N28" s="4">
        <v>0</v>
      </c>
      <c r="O28" s="63"/>
      <c r="P28" s="4">
        <v>0</v>
      </c>
      <c r="Q28" s="63"/>
      <c r="R28" s="4">
        <v>0</v>
      </c>
      <c r="S28" s="4">
        <v>88270.080000000002</v>
      </c>
      <c r="T28" s="4">
        <v>75000</v>
      </c>
      <c r="U28" s="4">
        <v>0</v>
      </c>
      <c r="V28" s="4">
        <v>118362.13</v>
      </c>
      <c r="W28" s="4">
        <v>38677</v>
      </c>
      <c r="X28" s="4">
        <v>207424</v>
      </c>
      <c r="Y28" s="4">
        <v>541877</v>
      </c>
      <c r="Z28" s="151">
        <v>7500</v>
      </c>
      <c r="AA28" s="151">
        <v>5000</v>
      </c>
      <c r="AB28" s="3">
        <f t="shared" si="0"/>
        <v>-2500</v>
      </c>
    </row>
    <row r="29" spans="1:28" x14ac:dyDescent="0.2">
      <c r="A29" s="134">
        <v>10178340</v>
      </c>
      <c r="B29" s="135">
        <v>3501</v>
      </c>
      <c r="C29" s="135" t="s">
        <v>522</v>
      </c>
      <c r="D29" s="135" t="s">
        <v>249</v>
      </c>
      <c r="E29" s="136">
        <v>21000</v>
      </c>
      <c r="F29" s="136">
        <v>0</v>
      </c>
      <c r="G29" s="136">
        <v>21000</v>
      </c>
      <c r="H29" s="136">
        <v>17062</v>
      </c>
      <c r="I29" s="136">
        <v>21000</v>
      </c>
      <c r="J29" s="137">
        <v>515000</v>
      </c>
      <c r="K29" s="136">
        <v>334784</v>
      </c>
      <c r="L29" s="137">
        <v>15000</v>
      </c>
      <c r="M29" s="136">
        <v>44789.01</v>
      </c>
      <c r="N29" s="137">
        <v>10000</v>
      </c>
      <c r="O29" s="136">
        <v>11406</v>
      </c>
      <c r="P29" s="137">
        <v>10000</v>
      </c>
      <c r="Q29" s="136">
        <v>4641</v>
      </c>
      <c r="R29" s="137">
        <v>10000</v>
      </c>
      <c r="S29" s="137">
        <v>185070.12</v>
      </c>
      <c r="T29" s="137">
        <v>5000</v>
      </c>
      <c r="U29" s="137">
        <v>36268.89</v>
      </c>
      <c r="V29" s="137">
        <v>48420.91</v>
      </c>
      <c r="W29" s="137">
        <v>7713</v>
      </c>
      <c r="X29" s="137">
        <v>18977</v>
      </c>
      <c r="Y29" s="137">
        <v>89208</v>
      </c>
      <c r="Z29" s="152">
        <v>20000</v>
      </c>
      <c r="AA29" s="152">
        <v>20000</v>
      </c>
      <c r="AB29" s="3">
        <f t="shared" si="0"/>
        <v>0</v>
      </c>
    </row>
    <row r="30" spans="1:28" x14ac:dyDescent="0.2">
      <c r="A30" s="132">
        <v>10178350</v>
      </c>
      <c r="B30" s="60">
        <v>3503</v>
      </c>
      <c r="C30" s="60" t="s">
        <v>523</v>
      </c>
      <c r="D30" s="60" t="s">
        <v>249</v>
      </c>
      <c r="E30" s="63">
        <v>35059</v>
      </c>
      <c r="F30" s="63">
        <v>35680.239999999998</v>
      </c>
      <c r="G30" s="63">
        <v>35059</v>
      </c>
      <c r="H30" s="63">
        <v>35680.239999999998</v>
      </c>
      <c r="I30" s="63">
        <v>35059</v>
      </c>
      <c r="J30" s="4">
        <v>38094</v>
      </c>
      <c r="K30" s="63">
        <v>42094.16</v>
      </c>
      <c r="L30" s="4">
        <v>40000</v>
      </c>
      <c r="M30" s="63">
        <v>30245.5</v>
      </c>
      <c r="N30" s="4">
        <v>4000</v>
      </c>
      <c r="O30" s="63">
        <v>4000</v>
      </c>
      <c r="P30" s="4">
        <v>4000</v>
      </c>
      <c r="Q30" s="63">
        <v>4000</v>
      </c>
      <c r="R30" s="4">
        <v>4000</v>
      </c>
      <c r="S30" s="4">
        <v>4001</v>
      </c>
      <c r="T30" s="4">
        <v>4000</v>
      </c>
      <c r="U30" s="4">
        <v>7700</v>
      </c>
      <c r="V30" s="4">
        <v>7550</v>
      </c>
      <c r="W30" s="4">
        <v>6500</v>
      </c>
      <c r="X30" s="4">
        <v>7000</v>
      </c>
      <c r="Y30" s="4">
        <v>7000</v>
      </c>
      <c r="Z30" s="151">
        <v>7500</v>
      </c>
      <c r="AA30" s="151">
        <v>7500</v>
      </c>
      <c r="AB30" s="3">
        <f t="shared" si="0"/>
        <v>0</v>
      </c>
    </row>
    <row r="31" spans="1:28" x14ac:dyDescent="0.2">
      <c r="A31" s="134">
        <v>10178990</v>
      </c>
      <c r="B31" s="135">
        <v>3503</v>
      </c>
      <c r="C31" s="135" t="s">
        <v>4</v>
      </c>
      <c r="D31" s="135" t="s">
        <v>249</v>
      </c>
      <c r="E31" s="136">
        <v>3200</v>
      </c>
      <c r="F31" s="136">
        <f>2162.33+14</f>
        <v>2176.33</v>
      </c>
      <c r="G31" s="136">
        <v>3200</v>
      </c>
      <c r="H31" s="136">
        <v>9000.27</v>
      </c>
      <c r="I31" s="136">
        <v>3200</v>
      </c>
      <c r="J31" s="137">
        <v>3000</v>
      </c>
      <c r="K31" s="136">
        <v>29852.84</v>
      </c>
      <c r="L31" s="137">
        <v>3000</v>
      </c>
      <c r="M31" s="136">
        <v>6451.47</v>
      </c>
      <c r="N31" s="137">
        <f>3500+3000</f>
        <v>6500</v>
      </c>
      <c r="O31" s="136">
        <v>20883.87</v>
      </c>
      <c r="P31" s="137">
        <v>16808.037090909089</v>
      </c>
      <c r="Q31" s="136">
        <v>19252.07</v>
      </c>
      <c r="R31" s="137">
        <v>16808.037090909089</v>
      </c>
      <c r="S31" s="137">
        <v>26490.46</v>
      </c>
      <c r="T31" s="137">
        <v>16000</v>
      </c>
      <c r="U31" s="137">
        <v>60007.59</v>
      </c>
      <c r="V31" s="137">
        <v>6191.9</v>
      </c>
      <c r="W31" s="137">
        <v>33830</v>
      </c>
      <c r="X31" s="137">
        <v>7416</v>
      </c>
      <c r="Y31" s="137">
        <v>3593</v>
      </c>
      <c r="Z31" s="152">
        <v>10000</v>
      </c>
      <c r="AA31" s="152">
        <v>5000</v>
      </c>
      <c r="AB31" s="3">
        <f t="shared" si="0"/>
        <v>-5000</v>
      </c>
    </row>
    <row r="32" spans="1:28" x14ac:dyDescent="0.2">
      <c r="A32" s="132">
        <v>10179090</v>
      </c>
      <c r="B32" s="60">
        <v>3915</v>
      </c>
      <c r="C32" s="60" t="s">
        <v>232</v>
      </c>
      <c r="D32" s="60" t="s">
        <v>249</v>
      </c>
      <c r="E32" s="63">
        <v>0</v>
      </c>
      <c r="F32" s="63">
        <v>178.99</v>
      </c>
      <c r="G32" s="63">
        <v>0</v>
      </c>
      <c r="H32" s="63">
        <v>2639347.34</v>
      </c>
      <c r="I32" s="63">
        <v>0</v>
      </c>
      <c r="J32" s="4">
        <v>0</v>
      </c>
      <c r="K32" s="63"/>
      <c r="L32" s="4">
        <f>-672000+1500900-30000</f>
        <v>798900</v>
      </c>
      <c r="M32" s="63">
        <v>188321</v>
      </c>
      <c r="N32" s="4">
        <v>0</v>
      </c>
      <c r="O32" s="63">
        <v>789412.59</v>
      </c>
      <c r="P32" s="4">
        <v>0</v>
      </c>
      <c r="Q32" s="63">
        <v>241535.63</v>
      </c>
      <c r="R32" s="4">
        <v>2696423</v>
      </c>
      <c r="S32" s="4">
        <v>1907506.01</v>
      </c>
      <c r="T32" s="4">
        <v>1201000</v>
      </c>
      <c r="U32" s="4">
        <v>1445729.05</v>
      </c>
      <c r="V32" s="4">
        <v>1160955.52</v>
      </c>
      <c r="W32" s="4">
        <v>2128439</v>
      </c>
      <c r="X32" s="4">
        <v>1827658</v>
      </c>
      <c r="Y32" s="4">
        <v>1863475</v>
      </c>
      <c r="Z32" s="151">
        <v>0</v>
      </c>
      <c r="AA32" s="151">
        <v>0</v>
      </c>
      <c r="AB32" s="3">
        <f t="shared" si="0"/>
        <v>0</v>
      </c>
    </row>
    <row r="33" spans="1:28" ht="13.5" thickBot="1" x14ac:dyDescent="0.25">
      <c r="A33" s="138">
        <v>10179210</v>
      </c>
      <c r="B33" s="139">
        <v>9999</v>
      </c>
      <c r="C33" s="139" t="s">
        <v>5</v>
      </c>
      <c r="D33" s="139" t="s">
        <v>249</v>
      </c>
      <c r="E33" s="140">
        <v>553433</v>
      </c>
      <c r="F33" s="140">
        <v>-389616.16</v>
      </c>
      <c r="G33" s="140">
        <v>500000</v>
      </c>
      <c r="H33" s="140">
        <v>81693.919999999998</v>
      </c>
      <c r="I33" s="140">
        <v>1383646</v>
      </c>
      <c r="J33" s="141">
        <v>0</v>
      </c>
      <c r="K33" s="140">
        <v>40951.18</v>
      </c>
      <c r="L33" s="141">
        <v>65000</v>
      </c>
      <c r="M33" s="140">
        <v>-191880.9</v>
      </c>
      <c r="N33" s="141">
        <v>0</v>
      </c>
      <c r="O33" s="140">
        <v>-577132.15</v>
      </c>
      <c r="P33" s="141">
        <v>0</v>
      </c>
      <c r="Q33" s="140">
        <v>-1107530.76</v>
      </c>
      <c r="R33" s="141">
        <v>0</v>
      </c>
      <c r="S33" s="141">
        <f>-624870.76-6000</f>
        <v>-630870.76</v>
      </c>
      <c r="T33" s="141">
        <v>0</v>
      </c>
      <c r="U33" s="141">
        <v>-1036734.35</v>
      </c>
      <c r="V33" s="141">
        <v>-2407826.77</v>
      </c>
      <c r="W33" s="141">
        <f>-141570-1500</f>
        <v>-143070</v>
      </c>
      <c r="X33" s="141">
        <v>-515333</v>
      </c>
      <c r="Y33" s="141">
        <v>421090</v>
      </c>
      <c r="Z33" s="159">
        <v>1350000</v>
      </c>
      <c r="AA33" s="159">
        <f>700000+1400000+284500</f>
        <v>2384500</v>
      </c>
      <c r="AB33" s="3">
        <f t="shared" si="0"/>
        <v>1034500</v>
      </c>
    </row>
    <row r="34" spans="1:28" x14ac:dyDescent="0.2">
      <c r="A34" s="132">
        <v>10274230</v>
      </c>
      <c r="B34" s="60">
        <v>3401</v>
      </c>
      <c r="C34" s="60" t="s">
        <v>6</v>
      </c>
      <c r="D34" s="60" t="s">
        <v>1406</v>
      </c>
      <c r="E34" s="63">
        <v>1000</v>
      </c>
      <c r="F34" s="63">
        <v>1166.5999999999999</v>
      </c>
      <c r="G34" s="63">
        <v>1000</v>
      </c>
      <c r="H34" s="63">
        <v>602</v>
      </c>
      <c r="I34" s="63">
        <v>1000</v>
      </c>
      <c r="J34" s="4">
        <v>750</v>
      </c>
      <c r="K34" s="63">
        <v>66.5</v>
      </c>
      <c r="L34" s="4">
        <v>500</v>
      </c>
      <c r="M34" s="63">
        <v>47</v>
      </c>
      <c r="N34" s="4">
        <v>100</v>
      </c>
      <c r="O34" s="63">
        <v>273</v>
      </c>
      <c r="P34" s="4">
        <v>300</v>
      </c>
      <c r="Q34" s="63">
        <v>74.5</v>
      </c>
      <c r="R34" s="4">
        <v>300</v>
      </c>
      <c r="S34" s="4">
        <v>36.5</v>
      </c>
      <c r="T34" s="4">
        <v>150</v>
      </c>
      <c r="U34" s="4">
        <v>8.5</v>
      </c>
      <c r="V34" s="4">
        <v>12</v>
      </c>
      <c r="W34" s="4">
        <v>0</v>
      </c>
      <c r="X34" s="4">
        <v>0</v>
      </c>
      <c r="Y34" s="4">
        <v>0</v>
      </c>
      <c r="Z34" s="151">
        <v>25</v>
      </c>
      <c r="AA34" s="151">
        <v>25</v>
      </c>
      <c r="AB34" s="3">
        <f t="shared" si="0"/>
        <v>0</v>
      </c>
    </row>
    <row r="35" spans="1:28" x14ac:dyDescent="0.2">
      <c r="A35" s="134">
        <v>10274290</v>
      </c>
      <c r="B35" s="135">
        <v>3401</v>
      </c>
      <c r="C35" s="135" t="s">
        <v>527</v>
      </c>
      <c r="D35" s="135" t="s">
        <v>1406</v>
      </c>
      <c r="E35" s="136">
        <v>4500</v>
      </c>
      <c r="F35" s="136">
        <v>2554.5</v>
      </c>
      <c r="G35" s="136">
        <v>4500</v>
      </c>
      <c r="H35" s="136">
        <v>1658.89</v>
      </c>
      <c r="I35" s="136">
        <v>3500</v>
      </c>
      <c r="J35" s="137">
        <v>750</v>
      </c>
      <c r="K35" s="136">
        <v>826.5</v>
      </c>
      <c r="L35" s="137">
        <v>750</v>
      </c>
      <c r="M35" s="136">
        <v>469</v>
      </c>
      <c r="N35" s="137">
        <v>1189.018064516129</v>
      </c>
      <c r="O35" s="136">
        <v>510</v>
      </c>
      <c r="P35" s="137">
        <v>874.82836363636363</v>
      </c>
      <c r="Q35" s="136">
        <v>573</v>
      </c>
      <c r="R35" s="137">
        <v>874.82836363636363</v>
      </c>
      <c r="S35" s="137">
        <v>334.5</v>
      </c>
      <c r="T35" s="137">
        <v>600</v>
      </c>
      <c r="U35" s="137">
        <v>239.45</v>
      </c>
      <c r="V35" s="137">
        <v>110</v>
      </c>
      <c r="W35" s="137">
        <v>181</v>
      </c>
      <c r="X35" s="137">
        <v>0</v>
      </c>
      <c r="Y35" s="137">
        <v>3</v>
      </c>
      <c r="Z35" s="152">
        <v>175</v>
      </c>
      <c r="AA35" s="152">
        <v>175</v>
      </c>
      <c r="AB35" s="3">
        <f t="shared" si="0"/>
        <v>0</v>
      </c>
    </row>
    <row r="36" spans="1:28" ht="13.5" thickBot="1" x14ac:dyDescent="0.25">
      <c r="A36" s="142">
        <v>10274990</v>
      </c>
      <c r="B36" s="143">
        <v>3401</v>
      </c>
      <c r="C36" s="143" t="s">
        <v>1060</v>
      </c>
      <c r="D36" s="143" t="s">
        <v>1406</v>
      </c>
      <c r="E36" s="144">
        <v>1200</v>
      </c>
      <c r="F36" s="144">
        <v>1067.5</v>
      </c>
      <c r="G36" s="144">
        <v>1200</v>
      </c>
      <c r="H36" s="144">
        <v>392.39</v>
      </c>
      <c r="I36" s="144">
        <v>1200</v>
      </c>
      <c r="J36" s="145">
        <v>500</v>
      </c>
      <c r="K36" s="144">
        <v>150</v>
      </c>
      <c r="L36" s="145">
        <v>500</v>
      </c>
      <c r="M36" s="144">
        <v>308</v>
      </c>
      <c r="N36" s="145">
        <v>558.43741935483877</v>
      </c>
      <c r="O36" s="144">
        <v>180</v>
      </c>
      <c r="P36" s="145">
        <v>449.15563636363635</v>
      </c>
      <c r="Q36" s="144">
        <v>256</v>
      </c>
      <c r="R36" s="145">
        <v>450</v>
      </c>
      <c r="S36" s="145">
        <v>271</v>
      </c>
      <c r="T36" s="145">
        <v>300</v>
      </c>
      <c r="U36" s="145">
        <v>9</v>
      </c>
      <c r="V36" s="145">
        <v>301</v>
      </c>
      <c r="W36" s="145">
        <v>225</v>
      </c>
      <c r="X36" s="145">
        <v>0</v>
      </c>
      <c r="Y36" s="145">
        <v>160</v>
      </c>
      <c r="Z36" s="160">
        <v>175</v>
      </c>
      <c r="AA36" s="160">
        <v>175</v>
      </c>
      <c r="AB36" s="3">
        <f t="shared" si="0"/>
        <v>0</v>
      </c>
    </row>
    <row r="37" spans="1:28" x14ac:dyDescent="0.2">
      <c r="A37" s="134">
        <v>10372290</v>
      </c>
      <c r="B37" s="135">
        <v>3311</v>
      </c>
      <c r="C37" s="135" t="s">
        <v>1409</v>
      </c>
      <c r="D37" s="135" t="s">
        <v>7</v>
      </c>
      <c r="E37" s="136">
        <v>0</v>
      </c>
      <c r="F37" s="136">
        <f>8420.29-213.25</f>
        <v>8207.0400000000009</v>
      </c>
      <c r="G37" s="136">
        <v>0</v>
      </c>
      <c r="H37" s="136">
        <v>6477.82</v>
      </c>
      <c r="I37" s="136">
        <v>0</v>
      </c>
      <c r="J37" s="137">
        <v>0</v>
      </c>
      <c r="K37" s="136">
        <v>66111.94</v>
      </c>
      <c r="L37" s="137">
        <v>0</v>
      </c>
      <c r="M37" s="136">
        <v>11008.63</v>
      </c>
      <c r="N37" s="137">
        <v>0</v>
      </c>
      <c r="O37" s="136">
        <v>30124</v>
      </c>
      <c r="P37" s="137">
        <v>0</v>
      </c>
      <c r="Q37" s="136">
        <f>26319.34+3177.5</f>
        <v>29496.84</v>
      </c>
      <c r="R37" s="137">
        <v>0</v>
      </c>
      <c r="S37" s="137">
        <v>0</v>
      </c>
      <c r="T37" s="137">
        <v>0</v>
      </c>
      <c r="U37" s="137">
        <v>36607</v>
      </c>
      <c r="V37" s="137">
        <v>171.68</v>
      </c>
      <c r="W37" s="137">
        <v>0</v>
      </c>
      <c r="X37" s="137">
        <v>0</v>
      </c>
      <c r="Y37" s="137">
        <v>236266</v>
      </c>
      <c r="Z37" s="152">
        <v>853082</v>
      </c>
      <c r="AA37" s="152">
        <v>860000</v>
      </c>
      <c r="AB37" s="3">
        <f t="shared" si="0"/>
        <v>6918</v>
      </c>
    </row>
    <row r="38" spans="1:28" x14ac:dyDescent="0.2">
      <c r="A38" s="132">
        <v>10373130</v>
      </c>
      <c r="B38" s="60">
        <v>3290</v>
      </c>
      <c r="C38" s="60" t="s">
        <v>513</v>
      </c>
      <c r="D38" s="60" t="s">
        <v>7</v>
      </c>
      <c r="E38" s="63"/>
      <c r="F38" s="63">
        <v>1185</v>
      </c>
      <c r="G38" s="63"/>
      <c r="H38" s="63">
        <v>730</v>
      </c>
      <c r="I38" s="63">
        <v>800</v>
      </c>
      <c r="J38" s="4">
        <v>800</v>
      </c>
      <c r="K38" s="63">
        <v>1130</v>
      </c>
      <c r="L38" s="4">
        <v>550</v>
      </c>
      <c r="M38" s="63">
        <v>880</v>
      </c>
      <c r="N38" s="4">
        <v>988.70967741935488</v>
      </c>
      <c r="O38" s="63">
        <f>25+750</f>
        <v>775</v>
      </c>
      <c r="P38" s="4">
        <v>941.27272727272725</v>
      </c>
      <c r="Q38" s="63">
        <f>25+480</f>
        <v>505</v>
      </c>
      <c r="R38" s="4">
        <v>925</v>
      </c>
      <c r="S38" s="4">
        <f>125+530</f>
        <v>655</v>
      </c>
      <c r="T38" s="4">
        <v>500</v>
      </c>
      <c r="U38" s="4">
        <v>980</v>
      </c>
      <c r="V38" s="4">
        <v>955</v>
      </c>
      <c r="W38" s="4">
        <v>1300</v>
      </c>
      <c r="X38" s="4">
        <f>2290+30</f>
        <v>2320</v>
      </c>
      <c r="Y38" s="4">
        <v>1825</v>
      </c>
      <c r="Z38" s="151">
        <v>2000</v>
      </c>
      <c r="AA38" s="151">
        <v>2000</v>
      </c>
      <c r="AB38" s="3">
        <f t="shared" si="0"/>
        <v>0</v>
      </c>
    </row>
    <row r="39" spans="1:28" x14ac:dyDescent="0.2">
      <c r="A39" s="134">
        <v>10374090</v>
      </c>
      <c r="B39" s="135">
        <v>3290</v>
      </c>
      <c r="C39" s="135" t="s">
        <v>231</v>
      </c>
      <c r="D39" s="135" t="s">
        <v>7</v>
      </c>
      <c r="E39" s="136">
        <v>0</v>
      </c>
      <c r="F39" s="136">
        <v>0</v>
      </c>
      <c r="G39" s="136">
        <v>0</v>
      </c>
      <c r="H39" s="136">
        <v>0</v>
      </c>
      <c r="I39" s="136">
        <v>0</v>
      </c>
      <c r="J39" s="137">
        <v>0</v>
      </c>
      <c r="K39" s="136">
        <v>10361</v>
      </c>
      <c r="L39" s="137">
        <v>10000</v>
      </c>
      <c r="M39" s="136">
        <v>10949</v>
      </c>
      <c r="N39" s="137">
        <v>7610.322580645161</v>
      </c>
      <c r="O39" s="136">
        <v>12365</v>
      </c>
      <c r="P39" s="137">
        <v>9067.2000000000007</v>
      </c>
      <c r="Q39" s="136">
        <v>33639</v>
      </c>
      <c r="R39" s="137">
        <v>10275</v>
      </c>
      <c r="S39" s="137">
        <v>22576</v>
      </c>
      <c r="T39" s="137">
        <v>18675</v>
      </c>
      <c r="U39" s="137">
        <v>21681</v>
      </c>
      <c r="V39" s="137">
        <v>29465</v>
      </c>
      <c r="W39" s="137">
        <v>37575</v>
      </c>
      <c r="X39" s="137">
        <v>29799</v>
      </c>
      <c r="Y39" s="137">
        <v>38086</v>
      </c>
      <c r="Z39" s="152">
        <v>30000</v>
      </c>
      <c r="AA39" s="152">
        <v>30000</v>
      </c>
      <c r="AB39" s="3">
        <f t="shared" si="0"/>
        <v>0</v>
      </c>
    </row>
    <row r="40" spans="1:28" x14ac:dyDescent="0.2">
      <c r="A40" s="132">
        <v>10374210</v>
      </c>
      <c r="B40" s="60">
        <v>3401</v>
      </c>
      <c r="C40" s="60" t="s">
        <v>8</v>
      </c>
      <c r="D40" s="60" t="s">
        <v>7</v>
      </c>
      <c r="E40" s="63">
        <v>525000</v>
      </c>
      <c r="F40" s="63">
        <v>512670.25</v>
      </c>
      <c r="G40" s="63">
        <v>525000</v>
      </c>
      <c r="H40" s="63">
        <v>538293.61</v>
      </c>
      <c r="I40" s="63">
        <v>525000</v>
      </c>
      <c r="J40" s="4">
        <v>540000</v>
      </c>
      <c r="K40" s="63">
        <v>560184</v>
      </c>
      <c r="L40" s="4">
        <v>525000</v>
      </c>
      <c r="M40" s="63">
        <v>600629.15</v>
      </c>
      <c r="N40" s="4">
        <v>625000</v>
      </c>
      <c r="O40" s="63">
        <v>548646.80000000005</v>
      </c>
      <c r="P40" s="4">
        <v>625000</v>
      </c>
      <c r="Q40" s="63">
        <v>609459.41</v>
      </c>
      <c r="R40" s="4">
        <v>625000</v>
      </c>
      <c r="S40" s="4">
        <v>641158.89</v>
      </c>
      <c r="T40" s="4">
        <v>625000</v>
      </c>
      <c r="U40" s="4">
        <v>773464.26</v>
      </c>
      <c r="V40" s="4">
        <v>873970.76</v>
      </c>
      <c r="W40" s="4">
        <v>801514</v>
      </c>
      <c r="X40" s="4">
        <v>894716</v>
      </c>
      <c r="Y40" s="4">
        <v>941895</v>
      </c>
      <c r="Z40" s="151">
        <v>965000</v>
      </c>
      <c r="AA40" s="151">
        <v>965000</v>
      </c>
      <c r="AB40" s="3">
        <f t="shared" si="0"/>
        <v>0</v>
      </c>
    </row>
    <row r="41" spans="1:28" x14ac:dyDescent="0.2">
      <c r="A41" s="134">
        <v>10374270</v>
      </c>
      <c r="B41" s="135">
        <v>3401</v>
      </c>
      <c r="C41" s="135" t="s">
        <v>9</v>
      </c>
      <c r="D41" s="135" t="s">
        <v>7</v>
      </c>
      <c r="E41" s="136">
        <v>400</v>
      </c>
      <c r="F41" s="136">
        <v>375</v>
      </c>
      <c r="G41" s="136">
        <v>400</v>
      </c>
      <c r="H41" s="136">
        <v>275</v>
      </c>
      <c r="I41" s="136">
        <v>400</v>
      </c>
      <c r="J41" s="137">
        <v>350</v>
      </c>
      <c r="K41" s="136">
        <v>490</v>
      </c>
      <c r="L41" s="137">
        <v>300</v>
      </c>
      <c r="M41" s="136">
        <v>225</v>
      </c>
      <c r="N41" s="137">
        <v>376.29032258064518</v>
      </c>
      <c r="O41" s="136">
        <v>125</v>
      </c>
      <c r="P41" s="137">
        <v>310.27272727272725</v>
      </c>
      <c r="Q41" s="136">
        <v>100</v>
      </c>
      <c r="R41" s="137">
        <v>250</v>
      </c>
      <c r="S41" s="137">
        <v>250</v>
      </c>
      <c r="T41" s="137">
        <v>200</v>
      </c>
      <c r="U41" s="137">
        <v>75</v>
      </c>
      <c r="V41" s="137">
        <v>200</v>
      </c>
      <c r="W41" s="137">
        <v>25</v>
      </c>
      <c r="X41" s="137">
        <v>0</v>
      </c>
      <c r="Y41" s="137">
        <v>0</v>
      </c>
      <c r="Z41" s="152">
        <v>200</v>
      </c>
      <c r="AA41" s="152">
        <v>200</v>
      </c>
      <c r="AB41" s="3">
        <f t="shared" si="0"/>
        <v>0</v>
      </c>
    </row>
    <row r="42" spans="1:28" hidden="1" x14ac:dyDescent="0.2">
      <c r="A42" s="132">
        <v>10374310</v>
      </c>
      <c r="B42" s="60">
        <v>3401</v>
      </c>
      <c r="C42" s="60" t="s">
        <v>1182</v>
      </c>
      <c r="D42" s="60" t="s">
        <v>7</v>
      </c>
      <c r="E42" s="63"/>
      <c r="F42" s="63">
        <v>0</v>
      </c>
      <c r="G42" s="63"/>
      <c r="H42" s="63">
        <v>2760</v>
      </c>
      <c r="I42" s="63"/>
      <c r="J42" s="4">
        <v>0</v>
      </c>
      <c r="K42" s="63">
        <v>0</v>
      </c>
      <c r="L42" s="4">
        <v>0</v>
      </c>
      <c r="M42" s="63">
        <v>200</v>
      </c>
      <c r="N42" s="4">
        <v>0</v>
      </c>
      <c r="O42" s="63">
        <v>40</v>
      </c>
      <c r="P42" s="4">
        <v>437.67272727272729</v>
      </c>
      <c r="Q42" s="63">
        <v>20</v>
      </c>
      <c r="R42" s="4">
        <v>200</v>
      </c>
      <c r="S42" s="4">
        <v>0</v>
      </c>
      <c r="T42" s="4">
        <v>0</v>
      </c>
      <c r="U42" s="4">
        <v>0</v>
      </c>
      <c r="V42" s="4">
        <v>0</v>
      </c>
      <c r="W42" s="4">
        <v>0</v>
      </c>
      <c r="X42" s="4">
        <v>0</v>
      </c>
      <c r="Y42" s="4">
        <v>0</v>
      </c>
      <c r="Z42" s="151"/>
      <c r="AA42" s="151"/>
      <c r="AB42" s="3">
        <f t="shared" si="0"/>
        <v>0</v>
      </c>
    </row>
    <row r="43" spans="1:28" x14ac:dyDescent="0.2">
      <c r="A43" s="132">
        <v>10374990</v>
      </c>
      <c r="B43" s="60">
        <v>3401</v>
      </c>
      <c r="C43" s="60" t="s">
        <v>1060</v>
      </c>
      <c r="D43" s="60" t="s">
        <v>7</v>
      </c>
      <c r="E43" s="63">
        <v>21000</v>
      </c>
      <c r="F43" s="63">
        <v>14622</v>
      </c>
      <c r="G43" s="63">
        <v>21000</v>
      </c>
      <c r="H43" s="63">
        <v>15719.2</v>
      </c>
      <c r="I43" s="63">
        <v>30000</v>
      </c>
      <c r="J43" s="4">
        <v>16000</v>
      </c>
      <c r="K43" s="63">
        <v>1890.85</v>
      </c>
      <c r="L43" s="4">
        <v>1500</v>
      </c>
      <c r="M43" s="63">
        <f>1256.41+2247.61</f>
        <v>3504.0200000000004</v>
      </c>
      <c r="N43" s="4">
        <v>6565.4338709677422</v>
      </c>
      <c r="O43" s="63">
        <f>420.05+4150</f>
        <v>4570.05</v>
      </c>
      <c r="P43" s="4">
        <v>5229.5441818181826</v>
      </c>
      <c r="Q43" s="63">
        <f>2645.83+2675.2</f>
        <v>5321.03</v>
      </c>
      <c r="R43" s="4">
        <v>4975</v>
      </c>
      <c r="S43" s="4">
        <f>360+499.3</f>
        <v>859.3</v>
      </c>
      <c r="T43" s="4">
        <v>4500</v>
      </c>
      <c r="U43" s="4">
        <v>667.22</v>
      </c>
      <c r="V43" s="4">
        <v>732.3</v>
      </c>
      <c r="W43" s="4">
        <v>916</v>
      </c>
      <c r="X43" s="4">
        <v>1400</v>
      </c>
      <c r="Y43" s="4">
        <v>3075</v>
      </c>
      <c r="Z43" s="151">
        <v>1000</v>
      </c>
      <c r="AA43" s="151">
        <v>1000</v>
      </c>
      <c r="AB43" s="3">
        <f t="shared" si="0"/>
        <v>0</v>
      </c>
    </row>
    <row r="44" spans="1:28" ht="13.5" thickBot="1" x14ac:dyDescent="0.25">
      <c r="A44" s="138">
        <v>10378240</v>
      </c>
      <c r="B44" s="139">
        <v>3503</v>
      </c>
      <c r="C44" s="139" t="s">
        <v>1062</v>
      </c>
      <c r="D44" s="139" t="s">
        <v>7</v>
      </c>
      <c r="E44" s="140">
        <v>0</v>
      </c>
      <c r="F44" s="140">
        <f>2172.55+6842.25</f>
        <v>9014.7999999999993</v>
      </c>
      <c r="G44" s="140">
        <v>0</v>
      </c>
      <c r="H44" s="140">
        <v>16148.03</v>
      </c>
      <c r="I44" s="140">
        <v>0</v>
      </c>
      <c r="J44" s="141">
        <v>0</v>
      </c>
      <c r="K44" s="140">
        <v>8164.17</v>
      </c>
      <c r="L44" s="141">
        <v>40000</v>
      </c>
      <c r="M44" s="140">
        <v>6900.66</v>
      </c>
      <c r="N44" s="141">
        <v>40000</v>
      </c>
      <c r="O44" s="140">
        <v>1312.16</v>
      </c>
      <c r="P44" s="141">
        <v>0</v>
      </c>
      <c r="Q44" s="140">
        <f>14532.2+161.28</f>
        <v>14693.480000000001</v>
      </c>
      <c r="R44" s="141">
        <v>0</v>
      </c>
      <c r="S44" s="141">
        <v>6022.08</v>
      </c>
      <c r="T44" s="141">
        <v>8750</v>
      </c>
      <c r="U44" s="141">
        <v>7755</v>
      </c>
      <c r="V44" s="141">
        <v>7652</v>
      </c>
      <c r="W44" s="141">
        <v>476</v>
      </c>
      <c r="X44" s="141">
        <f>9528+8865</f>
        <v>18393</v>
      </c>
      <c r="Y44" s="141">
        <v>9768</v>
      </c>
      <c r="Z44" s="159">
        <v>0</v>
      </c>
      <c r="AA44" s="159">
        <v>0</v>
      </c>
      <c r="AB44" s="3">
        <f t="shared" si="0"/>
        <v>0</v>
      </c>
    </row>
    <row r="45" spans="1:28" x14ac:dyDescent="0.2">
      <c r="A45" s="132">
        <v>10472280</v>
      </c>
      <c r="B45" s="60">
        <v>3311</v>
      </c>
      <c r="C45" s="60" t="s">
        <v>10</v>
      </c>
      <c r="D45" s="60" t="s">
        <v>996</v>
      </c>
      <c r="E45" s="63">
        <v>0</v>
      </c>
      <c r="F45" s="63">
        <v>56589.73</v>
      </c>
      <c r="G45" s="63">
        <v>0</v>
      </c>
      <c r="H45" s="63">
        <v>-309.89</v>
      </c>
      <c r="I45" s="63">
        <v>0</v>
      </c>
      <c r="J45" s="4">
        <v>0</v>
      </c>
      <c r="K45" s="63"/>
      <c r="L45" s="4">
        <v>0</v>
      </c>
      <c r="M45" s="63">
        <f>5037.01+82616.28</f>
        <v>87653.29</v>
      </c>
      <c r="N45" s="4">
        <v>97170</v>
      </c>
      <c r="O45" s="63">
        <f>92937.73-9949.3</f>
        <v>82988.429999999993</v>
      </c>
      <c r="P45" s="4">
        <f>2430+97170</f>
        <v>99600</v>
      </c>
      <c r="Q45" s="63">
        <f>7465.5+101363.57+2686</f>
        <v>111515.07</v>
      </c>
      <c r="R45" s="4">
        <f>2430+97170</f>
        <v>99600</v>
      </c>
      <c r="S45" s="4">
        <f>5240+108083.18</f>
        <v>113323.18</v>
      </c>
      <c r="T45" s="4">
        <f>3200+110000</f>
        <v>113200</v>
      </c>
      <c r="U45" s="4">
        <v>113643.77</v>
      </c>
      <c r="V45" s="4">
        <v>123142.39999999999</v>
      </c>
      <c r="W45" s="4">
        <v>31628</v>
      </c>
      <c r="X45" s="4">
        <v>1122</v>
      </c>
      <c r="Y45" s="4">
        <v>2696</v>
      </c>
      <c r="Z45" s="151">
        <v>0</v>
      </c>
      <c r="AA45" s="151">
        <v>0</v>
      </c>
      <c r="AB45" s="3">
        <f t="shared" si="0"/>
        <v>0</v>
      </c>
    </row>
    <row r="46" spans="1:28" x14ac:dyDescent="0.2">
      <c r="A46" s="134">
        <v>10472290</v>
      </c>
      <c r="B46" s="135">
        <v>3359</v>
      </c>
      <c r="C46" s="135" t="s">
        <v>390</v>
      </c>
      <c r="D46" s="135" t="s">
        <v>996</v>
      </c>
      <c r="E46" s="136">
        <v>0</v>
      </c>
      <c r="F46" s="136">
        <v>18237.72</v>
      </c>
      <c r="G46" s="136">
        <v>0</v>
      </c>
      <c r="H46" s="136">
        <v>5136.04</v>
      </c>
      <c r="I46" s="136">
        <v>0</v>
      </c>
      <c r="J46" s="137">
        <v>0</v>
      </c>
      <c r="K46" s="136">
        <v>16368.19</v>
      </c>
      <c r="L46" s="137">
        <v>0</v>
      </c>
      <c r="M46" s="136">
        <v>42767.17</v>
      </c>
      <c r="N46" s="137">
        <v>0</v>
      </c>
      <c r="O46" s="136">
        <v>20189.82</v>
      </c>
      <c r="P46" s="137">
        <v>0</v>
      </c>
      <c r="Q46" s="136">
        <v>26514.14</v>
      </c>
      <c r="R46" s="137">
        <v>0</v>
      </c>
      <c r="S46" s="137">
        <v>46665.59</v>
      </c>
      <c r="T46" s="137">
        <v>0</v>
      </c>
      <c r="U46" s="137">
        <v>56258.84</v>
      </c>
      <c r="V46" s="137">
        <v>59581.85</v>
      </c>
      <c r="W46" s="137">
        <v>53440</v>
      </c>
      <c r="X46" s="137">
        <v>15919</v>
      </c>
      <c r="Y46" s="137">
        <f>32345-7433</f>
        <v>24912</v>
      </c>
      <c r="Z46" s="152">
        <v>0</v>
      </c>
      <c r="AA46" s="152">
        <v>110000</v>
      </c>
      <c r="AB46" s="3">
        <f t="shared" si="0"/>
        <v>110000</v>
      </c>
    </row>
    <row r="47" spans="1:28" hidden="1" x14ac:dyDescent="0.2">
      <c r="A47" s="132">
        <v>10472450</v>
      </c>
      <c r="B47" s="60">
        <v>3311</v>
      </c>
      <c r="C47" s="60" t="s">
        <v>1059</v>
      </c>
      <c r="D47" s="60" t="s">
        <v>996</v>
      </c>
      <c r="E47" s="63">
        <v>0</v>
      </c>
      <c r="F47" s="63">
        <v>0</v>
      </c>
      <c r="G47" s="63">
        <v>0</v>
      </c>
      <c r="H47" s="63">
        <v>56.21</v>
      </c>
      <c r="I47" s="63">
        <v>0</v>
      </c>
      <c r="J47" s="4">
        <v>0</v>
      </c>
      <c r="K47" s="63">
        <v>0</v>
      </c>
      <c r="L47" s="4">
        <v>0</v>
      </c>
      <c r="M47" s="63">
        <v>369.45</v>
      </c>
      <c r="N47" s="4">
        <v>0</v>
      </c>
      <c r="O47" s="63"/>
      <c r="P47" s="4">
        <v>0</v>
      </c>
      <c r="Q47" s="63"/>
      <c r="R47" s="4">
        <v>0</v>
      </c>
      <c r="S47" s="4">
        <v>0</v>
      </c>
      <c r="T47" s="4">
        <v>0</v>
      </c>
      <c r="U47" s="4">
        <v>0</v>
      </c>
      <c r="V47" s="4">
        <v>0</v>
      </c>
      <c r="W47" s="4">
        <v>0</v>
      </c>
      <c r="X47" s="4">
        <v>0</v>
      </c>
      <c r="Y47" s="4">
        <v>0</v>
      </c>
      <c r="Z47" s="151"/>
      <c r="AA47" s="151"/>
      <c r="AB47" s="3">
        <f t="shared" si="0"/>
        <v>0</v>
      </c>
    </row>
    <row r="48" spans="1:28" hidden="1" x14ac:dyDescent="0.2">
      <c r="A48" s="132">
        <v>10472490</v>
      </c>
      <c r="B48" s="60">
        <v>3311</v>
      </c>
      <c r="C48" s="60" t="s">
        <v>152</v>
      </c>
      <c r="D48" s="60" t="s">
        <v>996</v>
      </c>
      <c r="E48" s="63">
        <v>0</v>
      </c>
      <c r="F48" s="63">
        <v>32454.37</v>
      </c>
      <c r="G48" s="63">
        <v>0</v>
      </c>
      <c r="H48" s="63">
        <v>18502.72</v>
      </c>
      <c r="I48" s="63">
        <v>0</v>
      </c>
      <c r="J48" s="4">
        <v>0</v>
      </c>
      <c r="K48" s="63">
        <v>72576.710000000006</v>
      </c>
      <c r="L48" s="4">
        <v>0</v>
      </c>
      <c r="M48" s="63">
        <v>0</v>
      </c>
      <c r="N48" s="4">
        <v>0</v>
      </c>
      <c r="O48" s="63"/>
      <c r="P48" s="4">
        <v>0</v>
      </c>
      <c r="Q48" s="63"/>
      <c r="R48" s="4">
        <v>0</v>
      </c>
      <c r="S48" s="4">
        <v>0</v>
      </c>
      <c r="T48" s="4">
        <v>0</v>
      </c>
      <c r="U48" s="4">
        <v>0</v>
      </c>
      <c r="V48" s="4">
        <v>0</v>
      </c>
      <c r="W48" s="4">
        <v>0</v>
      </c>
      <c r="X48" s="4">
        <v>0</v>
      </c>
      <c r="Y48" s="4">
        <v>0</v>
      </c>
      <c r="Z48" s="151"/>
      <c r="AA48" s="151"/>
      <c r="AB48" s="3">
        <f t="shared" si="0"/>
        <v>0</v>
      </c>
    </row>
    <row r="49" spans="1:28" x14ac:dyDescent="0.2">
      <c r="A49" s="132">
        <v>10473100</v>
      </c>
      <c r="B49" s="60">
        <v>3290</v>
      </c>
      <c r="C49" s="60" t="s">
        <v>153</v>
      </c>
      <c r="D49" s="60" t="s">
        <v>996</v>
      </c>
      <c r="E49" s="63">
        <v>2500</v>
      </c>
      <c r="F49" s="63">
        <v>2120</v>
      </c>
      <c r="G49" s="63">
        <v>2500</v>
      </c>
      <c r="H49" s="63">
        <v>2750</v>
      </c>
      <c r="I49" s="63">
        <v>2190</v>
      </c>
      <c r="J49" s="4">
        <v>3200</v>
      </c>
      <c r="K49" s="63">
        <v>3130</v>
      </c>
      <c r="L49" s="4">
        <v>3200</v>
      </c>
      <c r="M49" s="63">
        <v>3130</v>
      </c>
      <c r="N49" s="4">
        <v>2529.8683870967739</v>
      </c>
      <c r="O49" s="63">
        <v>4124</v>
      </c>
      <c r="P49" s="4">
        <v>2791.7440000000001</v>
      </c>
      <c r="Q49" s="63">
        <v>5090</v>
      </c>
      <c r="R49" s="4">
        <v>3170</v>
      </c>
      <c r="S49" s="4">
        <v>4374</v>
      </c>
      <c r="T49" s="4">
        <v>3900</v>
      </c>
      <c r="U49" s="4">
        <v>1330</v>
      </c>
      <c r="V49" s="4">
        <v>1680</v>
      </c>
      <c r="W49" s="4">
        <v>1430</v>
      </c>
      <c r="X49" s="4">
        <v>3350</v>
      </c>
      <c r="Y49" s="4">
        <v>1900</v>
      </c>
      <c r="Z49" s="151">
        <v>2500</v>
      </c>
      <c r="AA49" s="151">
        <v>2500</v>
      </c>
      <c r="AB49" s="3">
        <f t="shared" si="0"/>
        <v>0</v>
      </c>
    </row>
    <row r="50" spans="1:28" x14ac:dyDescent="0.2">
      <c r="A50" s="134">
        <v>10473140</v>
      </c>
      <c r="B50" s="135">
        <v>3290</v>
      </c>
      <c r="C50" s="135" t="s">
        <v>154</v>
      </c>
      <c r="D50" s="135" t="s">
        <v>996</v>
      </c>
      <c r="E50" s="136">
        <v>50</v>
      </c>
      <c r="F50" s="136">
        <v>50</v>
      </c>
      <c r="G50" s="136">
        <v>50</v>
      </c>
      <c r="H50" s="136">
        <v>0</v>
      </c>
      <c r="I50" s="136">
        <v>50</v>
      </c>
      <c r="J50" s="137">
        <v>50</v>
      </c>
      <c r="K50" s="136"/>
      <c r="L50" s="137">
        <v>50</v>
      </c>
      <c r="M50" s="136">
        <v>10</v>
      </c>
      <c r="N50" s="137">
        <v>684.51612903225805</v>
      </c>
      <c r="O50" s="136">
        <v>29</v>
      </c>
      <c r="P50" s="137">
        <v>390.18181818181819</v>
      </c>
      <c r="Q50" s="136">
        <v>33</v>
      </c>
      <c r="R50" s="137">
        <v>375</v>
      </c>
      <c r="S50" s="137">
        <v>0</v>
      </c>
      <c r="T50" s="137">
        <v>200</v>
      </c>
      <c r="U50" s="137">
        <v>0</v>
      </c>
      <c r="V50" s="137">
        <v>0</v>
      </c>
      <c r="W50" s="137">
        <v>0</v>
      </c>
      <c r="X50" s="137">
        <v>0</v>
      </c>
      <c r="Y50" s="137">
        <v>0</v>
      </c>
      <c r="Z50" s="152">
        <v>0</v>
      </c>
      <c r="AA50" s="152">
        <v>0</v>
      </c>
      <c r="AB50" s="3">
        <f t="shared" si="0"/>
        <v>0</v>
      </c>
    </row>
    <row r="51" spans="1:28" x14ac:dyDescent="0.2">
      <c r="A51" s="132">
        <v>10474290</v>
      </c>
      <c r="B51" s="60">
        <v>3401</v>
      </c>
      <c r="C51" s="60" t="s">
        <v>527</v>
      </c>
      <c r="D51" s="60" t="s">
        <v>996</v>
      </c>
      <c r="E51" s="63">
        <v>6500</v>
      </c>
      <c r="F51" s="63">
        <v>11559</v>
      </c>
      <c r="G51" s="63">
        <v>6500</v>
      </c>
      <c r="H51" s="63">
        <v>9237</v>
      </c>
      <c r="I51" s="63">
        <v>8670</v>
      </c>
      <c r="J51" s="4">
        <v>9900</v>
      </c>
      <c r="K51" s="63">
        <v>8507.5</v>
      </c>
      <c r="L51" s="4">
        <v>10500</v>
      </c>
      <c r="M51" s="63">
        <v>7666</v>
      </c>
      <c r="N51" s="4">
        <v>8500</v>
      </c>
      <c r="O51" s="63">
        <v>8022</v>
      </c>
      <c r="P51" s="4">
        <v>8585.110545454545</v>
      </c>
      <c r="Q51" s="63">
        <v>6840.41</v>
      </c>
      <c r="R51" s="4">
        <v>8585.110545454545</v>
      </c>
      <c r="S51" s="4">
        <v>7083</v>
      </c>
      <c r="T51" s="4">
        <v>7750</v>
      </c>
      <c r="U51" s="4">
        <v>5404.5</v>
      </c>
      <c r="V51" s="4">
        <v>0</v>
      </c>
      <c r="W51" s="4">
        <v>3196</v>
      </c>
      <c r="X51" s="4">
        <v>2627</v>
      </c>
      <c r="Y51" s="4">
        <v>3124</v>
      </c>
      <c r="Z51" s="151">
        <v>3000</v>
      </c>
      <c r="AA51" s="151">
        <v>3000</v>
      </c>
      <c r="AB51" s="3">
        <f t="shared" si="0"/>
        <v>0</v>
      </c>
    </row>
    <row r="52" spans="1:28" x14ac:dyDescent="0.2">
      <c r="A52" s="134">
        <v>10474310</v>
      </c>
      <c r="B52" s="135">
        <v>3401</v>
      </c>
      <c r="C52" s="135" t="s">
        <v>1547</v>
      </c>
      <c r="D52" s="135" t="s">
        <v>996</v>
      </c>
      <c r="E52" s="136">
        <v>1400</v>
      </c>
      <c r="F52" s="136">
        <v>1570</v>
      </c>
      <c r="G52" s="136">
        <v>1400</v>
      </c>
      <c r="H52" s="136">
        <v>1080</v>
      </c>
      <c r="I52" s="136">
        <v>1517</v>
      </c>
      <c r="J52" s="137">
        <v>24000</v>
      </c>
      <c r="K52" s="136">
        <v>1797.75</v>
      </c>
      <c r="L52" s="137">
        <v>24000</v>
      </c>
      <c r="M52" s="136">
        <v>1760</v>
      </c>
      <c r="N52" s="137">
        <v>0</v>
      </c>
      <c r="O52" s="136">
        <v>900</v>
      </c>
      <c r="P52" s="137">
        <v>0</v>
      </c>
      <c r="Q52" s="136">
        <v>1612</v>
      </c>
      <c r="R52" s="137">
        <v>900</v>
      </c>
      <c r="S52" s="137">
        <v>560</v>
      </c>
      <c r="T52" s="137">
        <v>1475</v>
      </c>
      <c r="U52" s="137">
        <v>6530</v>
      </c>
      <c r="V52" s="137">
        <v>3884.2</v>
      </c>
      <c r="W52" s="137">
        <v>4470</v>
      </c>
      <c r="X52" s="137">
        <v>840</v>
      </c>
      <c r="Y52" s="137">
        <v>5518</v>
      </c>
      <c r="Z52" s="152">
        <v>1000</v>
      </c>
      <c r="AA52" s="152">
        <v>5000</v>
      </c>
      <c r="AB52" s="3">
        <f t="shared" si="0"/>
        <v>4000</v>
      </c>
    </row>
    <row r="53" spans="1:28" x14ac:dyDescent="0.2">
      <c r="A53" s="132">
        <v>10474980</v>
      </c>
      <c r="B53" s="60">
        <v>3401</v>
      </c>
      <c r="C53" s="60" t="s">
        <v>740</v>
      </c>
      <c r="D53" s="60" t="s">
        <v>996</v>
      </c>
      <c r="E53" s="63">
        <v>12000</v>
      </c>
      <c r="F53" s="63">
        <v>11787</v>
      </c>
      <c r="G53" s="63">
        <v>12000</v>
      </c>
      <c r="H53" s="63">
        <v>22310.37</v>
      </c>
      <c r="I53" s="63">
        <v>14824</v>
      </c>
      <c r="J53" s="4">
        <v>20000</v>
      </c>
      <c r="K53" s="63">
        <f>-4910+14338.8</f>
        <v>9428.7999999999993</v>
      </c>
      <c r="L53" s="4">
        <v>20000</v>
      </c>
      <c r="M53" s="63">
        <v>7435.41</v>
      </c>
      <c r="N53" s="4">
        <v>15943.721290322579</v>
      </c>
      <c r="O53" s="63">
        <v>12000.21</v>
      </c>
      <c r="P53" s="4">
        <v>12231.003636363635</v>
      </c>
      <c r="Q53" s="63">
        <v>4250.96</v>
      </c>
      <c r="R53" s="4">
        <v>12231.003636363635</v>
      </c>
      <c r="S53" s="4">
        <v>3941.84</v>
      </c>
      <c r="T53" s="4">
        <v>8525</v>
      </c>
      <c r="U53" s="4">
        <v>2447</v>
      </c>
      <c r="V53" s="4">
        <v>7300</v>
      </c>
      <c r="W53" s="4">
        <v>168</v>
      </c>
      <c r="X53" s="4">
        <v>0</v>
      </c>
      <c r="Y53" s="4">
        <v>229</v>
      </c>
      <c r="Z53" s="151">
        <v>3100</v>
      </c>
      <c r="AA53" s="151">
        <v>2500</v>
      </c>
      <c r="AB53" s="3">
        <f t="shared" si="0"/>
        <v>-600</v>
      </c>
    </row>
    <row r="54" spans="1:28" s="32" customFormat="1" x14ac:dyDescent="0.2">
      <c r="A54" s="134">
        <v>10474990</v>
      </c>
      <c r="B54" s="135">
        <v>3401</v>
      </c>
      <c r="C54" s="135" t="s">
        <v>1060</v>
      </c>
      <c r="D54" s="135" t="s">
        <v>996</v>
      </c>
      <c r="E54" s="136">
        <v>3850</v>
      </c>
      <c r="F54" s="136">
        <v>725.99900000000002</v>
      </c>
      <c r="G54" s="136">
        <v>3850</v>
      </c>
      <c r="H54" s="136">
        <v>1348.97</v>
      </c>
      <c r="I54" s="136">
        <v>2691</v>
      </c>
      <c r="J54" s="137">
        <v>2200</v>
      </c>
      <c r="K54" s="136">
        <v>0</v>
      </c>
      <c r="L54" s="137">
        <v>2200</v>
      </c>
      <c r="M54" s="136">
        <v>50</v>
      </c>
      <c r="N54" s="137">
        <v>1000</v>
      </c>
      <c r="O54" s="136">
        <v>4466.6499999999996</v>
      </c>
      <c r="P54" s="137">
        <v>1000</v>
      </c>
      <c r="Q54" s="136">
        <v>3360.25</v>
      </c>
      <c r="R54" s="137">
        <v>1660</v>
      </c>
      <c r="S54" s="137">
        <v>2550</v>
      </c>
      <c r="T54" s="137">
        <v>2375</v>
      </c>
      <c r="U54" s="137">
        <v>1463.25</v>
      </c>
      <c r="V54" s="137">
        <v>2221.15</v>
      </c>
      <c r="W54" s="137">
        <v>498</v>
      </c>
      <c r="X54" s="149">
        <v>446</v>
      </c>
      <c r="Y54" s="149">
        <v>0</v>
      </c>
      <c r="Z54" s="186">
        <v>500</v>
      </c>
      <c r="AA54" s="186">
        <v>500</v>
      </c>
      <c r="AB54" s="3">
        <f t="shared" si="0"/>
        <v>0</v>
      </c>
    </row>
    <row r="55" spans="1:28" x14ac:dyDescent="0.2">
      <c r="A55" s="132">
        <v>10475050</v>
      </c>
      <c r="B55" s="60">
        <v>3503</v>
      </c>
      <c r="C55" s="60" t="s">
        <v>741</v>
      </c>
      <c r="D55" s="60" t="s">
        <v>996</v>
      </c>
      <c r="E55" s="63">
        <v>15000</v>
      </c>
      <c r="F55" s="63">
        <v>8475.6</v>
      </c>
      <c r="G55" s="63">
        <v>15000</v>
      </c>
      <c r="H55" s="63">
        <v>13880</v>
      </c>
      <c r="I55" s="63">
        <v>15665</v>
      </c>
      <c r="J55" s="4">
        <v>15000</v>
      </c>
      <c r="K55" s="63">
        <v>16600</v>
      </c>
      <c r="L55" s="4">
        <v>15000</v>
      </c>
      <c r="M55" s="63">
        <v>15514.36</v>
      </c>
      <c r="N55" s="4">
        <v>16824.329032258065</v>
      </c>
      <c r="O55" s="63">
        <v>7086</v>
      </c>
      <c r="P55" s="4">
        <v>16252.706181818183</v>
      </c>
      <c r="Q55" s="63">
        <v>5223</v>
      </c>
      <c r="R55" s="4">
        <v>13075</v>
      </c>
      <c r="S55" s="4">
        <v>690</v>
      </c>
      <c r="T55" s="4">
        <v>8000</v>
      </c>
      <c r="U55" s="4">
        <v>0</v>
      </c>
      <c r="V55" s="4">
        <v>0</v>
      </c>
      <c r="W55" s="4">
        <v>0</v>
      </c>
      <c r="X55" s="4">
        <v>0</v>
      </c>
      <c r="Y55" s="4">
        <v>0</v>
      </c>
      <c r="Z55" s="151">
        <v>750</v>
      </c>
      <c r="AA55" s="151">
        <v>750</v>
      </c>
      <c r="AB55" s="3">
        <f t="shared" si="0"/>
        <v>0</v>
      </c>
    </row>
    <row r="56" spans="1:28" x14ac:dyDescent="0.2">
      <c r="A56" s="134">
        <v>10478240</v>
      </c>
      <c r="B56" s="135">
        <v>3503</v>
      </c>
      <c r="C56" s="135" t="s">
        <v>1062</v>
      </c>
      <c r="D56" s="135" t="s">
        <v>996</v>
      </c>
      <c r="E56" s="136">
        <v>0</v>
      </c>
      <c r="F56" s="136">
        <f>9959+13556.03</f>
        <v>23515.03</v>
      </c>
      <c r="G56" s="136">
        <v>0</v>
      </c>
      <c r="H56" s="136">
        <v>15606.05</v>
      </c>
      <c r="I56" s="136">
        <v>0</v>
      </c>
      <c r="J56" s="137">
        <v>0</v>
      </c>
      <c r="K56" s="136">
        <v>9479.1299999999992</v>
      </c>
      <c r="L56" s="137">
        <v>2300</v>
      </c>
      <c r="M56" s="136">
        <f>7132.93+14082.44</f>
        <v>21215.370000000003</v>
      </c>
      <c r="N56" s="137">
        <v>0</v>
      </c>
      <c r="O56" s="136">
        <v>4924</v>
      </c>
      <c r="P56" s="137">
        <v>0</v>
      </c>
      <c r="Q56" s="136">
        <f>14069+6388.54</f>
        <v>20457.54</v>
      </c>
      <c r="R56" s="137">
        <v>0</v>
      </c>
      <c r="S56" s="137">
        <f>2890.27+8986.25</f>
        <v>11876.52</v>
      </c>
      <c r="T56" s="137">
        <v>0</v>
      </c>
      <c r="U56" s="137">
        <v>34024.76</v>
      </c>
      <c r="V56" s="137">
        <v>12985.73</v>
      </c>
      <c r="W56" s="137">
        <v>22274</v>
      </c>
      <c r="X56" s="137">
        <f>1404+9455</f>
        <v>10859</v>
      </c>
      <c r="Y56" s="137">
        <f>24093.03</f>
        <v>24093.03</v>
      </c>
      <c r="Z56" s="152">
        <v>0</v>
      </c>
      <c r="AA56" s="152">
        <v>0</v>
      </c>
      <c r="AB56" s="3">
        <f t="shared" si="0"/>
        <v>0</v>
      </c>
    </row>
    <row r="57" spans="1:28" x14ac:dyDescent="0.2">
      <c r="A57" s="132">
        <v>10478260</v>
      </c>
      <c r="B57" s="60">
        <v>3503</v>
      </c>
      <c r="C57" s="60" t="s">
        <v>1398</v>
      </c>
      <c r="D57" s="60" t="s">
        <v>1397</v>
      </c>
      <c r="E57" s="63">
        <v>5731</v>
      </c>
      <c r="F57" s="63">
        <v>5623.88</v>
      </c>
      <c r="G57" s="63">
        <v>13060</v>
      </c>
      <c r="H57" s="63">
        <v>8081.5</v>
      </c>
      <c r="I57" s="63">
        <v>13060</v>
      </c>
      <c r="J57" s="4">
        <v>11060</v>
      </c>
      <c r="K57" s="63">
        <v>3889.72</v>
      </c>
      <c r="L57" s="4">
        <v>11060</v>
      </c>
      <c r="M57" s="63">
        <v>1255</v>
      </c>
      <c r="N57" s="4">
        <v>11060</v>
      </c>
      <c r="O57" s="63"/>
      <c r="P57" s="4">
        <v>5060</v>
      </c>
      <c r="Q57" s="63">
        <v>513.88</v>
      </c>
      <c r="R57" s="4">
        <v>5060</v>
      </c>
      <c r="S57" s="4">
        <v>2209.7199999999998</v>
      </c>
      <c r="T57" s="4">
        <v>5060</v>
      </c>
      <c r="U57" s="4">
        <v>1673.05</v>
      </c>
      <c r="V57" s="4">
        <v>193.6</v>
      </c>
      <c r="W57" s="4">
        <v>0</v>
      </c>
      <c r="X57" s="4">
        <v>0</v>
      </c>
      <c r="Y57" s="4">
        <v>1559</v>
      </c>
      <c r="Z57" s="151">
        <v>5000</v>
      </c>
      <c r="AA57" s="151">
        <v>5000</v>
      </c>
      <c r="AB57" s="3">
        <f t="shared" si="0"/>
        <v>0</v>
      </c>
    </row>
    <row r="58" spans="1:28" ht="13.5" thickBot="1" x14ac:dyDescent="0.25">
      <c r="A58" s="138">
        <v>10478990</v>
      </c>
      <c r="B58" s="139">
        <v>3503</v>
      </c>
      <c r="C58" s="139" t="s">
        <v>4</v>
      </c>
      <c r="D58" s="139" t="s">
        <v>996</v>
      </c>
      <c r="E58" s="140">
        <v>500</v>
      </c>
      <c r="F58" s="140">
        <v>350</v>
      </c>
      <c r="G58" s="140">
        <v>500</v>
      </c>
      <c r="H58" s="140">
        <v>979.16</v>
      </c>
      <c r="I58" s="140">
        <v>455</v>
      </c>
      <c r="J58" s="141">
        <v>500</v>
      </c>
      <c r="K58" s="140">
        <v>1342.14</v>
      </c>
      <c r="L58" s="141">
        <v>1000</v>
      </c>
      <c r="M58" s="140">
        <v>2085.25</v>
      </c>
      <c r="N58" s="141">
        <v>1371.0964516129034</v>
      </c>
      <c r="O58" s="140">
        <f>1396.08+3712.02</f>
        <v>5108.1000000000004</v>
      </c>
      <c r="P58" s="141">
        <v>1682.727090909091</v>
      </c>
      <c r="Q58" s="140">
        <v>6648.63</v>
      </c>
      <c r="R58" s="141">
        <v>2825</v>
      </c>
      <c r="S58" s="141">
        <v>13432.86</v>
      </c>
      <c r="T58" s="141">
        <v>2825</v>
      </c>
      <c r="U58" s="141">
        <v>5224.2700000000004</v>
      </c>
      <c r="V58" s="141">
        <v>825.06999999999994</v>
      </c>
      <c r="W58" s="141">
        <v>281</v>
      </c>
      <c r="X58" s="141">
        <v>642</v>
      </c>
      <c r="Y58" s="141">
        <v>1207</v>
      </c>
      <c r="Z58" s="159">
        <v>750</v>
      </c>
      <c r="AA58" s="159">
        <v>1000</v>
      </c>
      <c r="AB58" s="3">
        <f t="shared" si="0"/>
        <v>250</v>
      </c>
    </row>
    <row r="59" spans="1:28" x14ac:dyDescent="0.2">
      <c r="A59" s="267" t="s">
        <v>418</v>
      </c>
      <c r="B59" s="248"/>
      <c r="C59" s="248" t="s">
        <v>418</v>
      </c>
      <c r="D59" s="248" t="s">
        <v>418</v>
      </c>
      <c r="E59" s="248" t="s">
        <v>864</v>
      </c>
      <c r="F59" s="248" t="s">
        <v>864</v>
      </c>
      <c r="G59" s="248" t="s">
        <v>545</v>
      </c>
      <c r="H59" s="248" t="s">
        <v>545</v>
      </c>
      <c r="I59" s="133" t="s">
        <v>24</v>
      </c>
      <c r="J59" s="248" t="s">
        <v>903</v>
      </c>
      <c r="K59" s="133" t="s">
        <v>903</v>
      </c>
      <c r="L59" s="248" t="s">
        <v>584</v>
      </c>
      <c r="M59" s="133" t="s">
        <v>584</v>
      </c>
      <c r="N59" s="74" t="s">
        <v>402</v>
      </c>
      <c r="O59" s="133" t="s">
        <v>402</v>
      </c>
      <c r="P59" s="74" t="s">
        <v>826</v>
      </c>
      <c r="Q59" s="133" t="s">
        <v>826</v>
      </c>
      <c r="R59" s="248" t="s">
        <v>1594</v>
      </c>
      <c r="S59" s="73" t="s">
        <v>82</v>
      </c>
      <c r="T59" s="74" t="s">
        <v>82</v>
      </c>
      <c r="U59" s="279" t="s">
        <v>1785</v>
      </c>
      <c r="V59" s="279" t="s">
        <v>1918</v>
      </c>
      <c r="W59" s="279" t="s">
        <v>2003</v>
      </c>
      <c r="X59" s="279" t="s">
        <v>2084</v>
      </c>
      <c r="Y59" s="279" t="s">
        <v>2163</v>
      </c>
      <c r="Z59" s="357" t="s">
        <v>2290</v>
      </c>
      <c r="AA59" s="357" t="s">
        <v>2507</v>
      </c>
      <c r="AB59" s="3">
        <v>0</v>
      </c>
    </row>
    <row r="60" spans="1:28" x14ac:dyDescent="0.2">
      <c r="A60" s="268" t="s">
        <v>837</v>
      </c>
      <c r="B60" s="249"/>
      <c r="C60" s="249" t="s">
        <v>279</v>
      </c>
      <c r="D60" s="249" t="s">
        <v>1444</v>
      </c>
      <c r="E60" s="249" t="s">
        <v>251</v>
      </c>
      <c r="F60" s="249" t="s">
        <v>250</v>
      </c>
      <c r="G60" s="249" t="s">
        <v>251</v>
      </c>
      <c r="H60" s="249" t="s">
        <v>250</v>
      </c>
      <c r="I60" s="250" t="s">
        <v>251</v>
      </c>
      <c r="J60" s="250" t="s">
        <v>251</v>
      </c>
      <c r="K60" s="250" t="s">
        <v>250</v>
      </c>
      <c r="L60" s="250" t="s">
        <v>251</v>
      </c>
      <c r="M60" s="250" t="s">
        <v>250</v>
      </c>
      <c r="N60" s="250" t="s">
        <v>251</v>
      </c>
      <c r="O60" s="250" t="s">
        <v>250</v>
      </c>
      <c r="P60" s="250" t="s">
        <v>251</v>
      </c>
      <c r="Q60" s="250" t="s">
        <v>250</v>
      </c>
      <c r="R60" s="250" t="s">
        <v>251</v>
      </c>
      <c r="S60" s="251" t="s">
        <v>250</v>
      </c>
      <c r="T60" s="252" t="s">
        <v>251</v>
      </c>
      <c r="U60" s="251" t="s">
        <v>250</v>
      </c>
      <c r="V60" s="251" t="s">
        <v>250</v>
      </c>
      <c r="W60" s="251" t="s">
        <v>250</v>
      </c>
      <c r="X60" s="251" t="s">
        <v>250</v>
      </c>
      <c r="Y60" s="251" t="s">
        <v>250</v>
      </c>
      <c r="Z60" s="358" t="s">
        <v>251</v>
      </c>
      <c r="AA60" s="358" t="s">
        <v>251</v>
      </c>
      <c r="AB60" s="3">
        <v>0</v>
      </c>
    </row>
    <row r="61" spans="1:28" x14ac:dyDescent="0.2">
      <c r="A61" s="268"/>
      <c r="B61" s="249"/>
      <c r="C61" s="249"/>
      <c r="D61" s="249"/>
      <c r="E61" s="249"/>
      <c r="F61" s="249"/>
      <c r="G61" s="249"/>
      <c r="H61" s="249"/>
      <c r="I61" s="250"/>
      <c r="J61" s="250"/>
      <c r="K61" s="250"/>
      <c r="L61" s="250"/>
      <c r="M61" s="250"/>
      <c r="N61" s="74"/>
      <c r="O61" s="133"/>
      <c r="P61" s="133"/>
      <c r="Q61" s="133"/>
      <c r="R61" s="248"/>
      <c r="S61" s="74"/>
      <c r="T61" s="74"/>
      <c r="U61" s="74"/>
      <c r="V61" s="74"/>
      <c r="W61" s="74"/>
      <c r="X61" s="74"/>
      <c r="Y61" s="74"/>
      <c r="Z61" s="185"/>
      <c r="AA61" s="185"/>
      <c r="AB61" s="3">
        <f t="shared" si="0"/>
        <v>0</v>
      </c>
    </row>
    <row r="62" spans="1:28" x14ac:dyDescent="0.2">
      <c r="A62" s="569" t="s">
        <v>1903</v>
      </c>
      <c r="B62" s="570"/>
      <c r="C62" s="570"/>
      <c r="D62" s="570"/>
      <c r="E62" s="570"/>
      <c r="F62" s="570"/>
      <c r="G62" s="570"/>
      <c r="H62" s="570"/>
      <c r="I62" s="570"/>
      <c r="J62" s="570"/>
      <c r="K62" s="570"/>
      <c r="L62" s="570"/>
      <c r="M62" s="570"/>
      <c r="N62" s="570"/>
      <c r="O62" s="253"/>
      <c r="P62" s="253"/>
      <c r="Q62" s="253"/>
      <c r="R62" s="248"/>
      <c r="S62" s="74"/>
      <c r="T62" s="74"/>
      <c r="U62" s="74"/>
      <c r="V62" s="74"/>
      <c r="W62" s="74"/>
      <c r="X62" s="74"/>
      <c r="Y62" s="74"/>
      <c r="Z62" s="185"/>
      <c r="AA62" s="185"/>
      <c r="AB62" s="3">
        <f t="shared" si="0"/>
        <v>0</v>
      </c>
    </row>
    <row r="63" spans="1:28" ht="13.5" thickBot="1" x14ac:dyDescent="0.25">
      <c r="A63" s="132"/>
      <c r="B63" s="60"/>
      <c r="C63" s="60"/>
      <c r="D63" s="60"/>
      <c r="E63" s="63"/>
      <c r="F63" s="63"/>
      <c r="G63" s="63"/>
      <c r="H63" s="63"/>
      <c r="I63" s="63"/>
      <c r="J63" s="4"/>
      <c r="K63" s="63"/>
      <c r="L63" s="4"/>
      <c r="M63" s="63"/>
      <c r="N63" s="4"/>
      <c r="O63" s="63"/>
      <c r="P63" s="4"/>
      <c r="Q63" s="63"/>
      <c r="R63" s="4"/>
      <c r="S63" s="4"/>
      <c r="T63" s="4"/>
      <c r="U63" s="4"/>
      <c r="V63" s="4"/>
      <c r="W63" s="4"/>
      <c r="X63" s="4"/>
      <c r="Y63" s="4"/>
      <c r="Z63" s="151"/>
      <c r="AA63" s="151"/>
      <c r="AB63" s="3">
        <f t="shared" si="0"/>
        <v>0</v>
      </c>
    </row>
    <row r="64" spans="1:28" ht="13.5" hidden="1" thickBot="1" x14ac:dyDescent="0.25">
      <c r="A64" s="132">
        <v>10479210</v>
      </c>
      <c r="B64" s="60">
        <v>9999</v>
      </c>
      <c r="C64" s="60" t="s">
        <v>5</v>
      </c>
      <c r="D64" s="60" t="s">
        <v>1397</v>
      </c>
      <c r="E64" s="63">
        <v>0</v>
      </c>
      <c r="F64" s="63">
        <v>0</v>
      </c>
      <c r="G64" s="63">
        <v>0</v>
      </c>
      <c r="H64" s="63">
        <v>0</v>
      </c>
      <c r="I64" s="63">
        <v>0</v>
      </c>
      <c r="J64" s="4">
        <v>0</v>
      </c>
      <c r="K64" s="63"/>
      <c r="L64" s="4">
        <v>0</v>
      </c>
      <c r="M64" s="63"/>
      <c r="N64" s="4">
        <v>0</v>
      </c>
      <c r="O64" s="63"/>
      <c r="P64" s="4">
        <v>0</v>
      </c>
      <c r="Q64" s="63">
        <v>0</v>
      </c>
      <c r="R64" s="4">
        <v>0</v>
      </c>
      <c r="S64" s="4"/>
      <c r="T64" s="4">
        <v>0</v>
      </c>
      <c r="U64" s="4"/>
      <c r="V64" s="4"/>
      <c r="W64" s="4"/>
      <c r="X64" s="4"/>
      <c r="Y64" s="4"/>
      <c r="Z64" s="151"/>
      <c r="AA64" s="151"/>
      <c r="AB64" s="3">
        <f t="shared" si="0"/>
        <v>0</v>
      </c>
    </row>
    <row r="65" spans="1:28" x14ac:dyDescent="0.2">
      <c r="A65" s="269">
        <v>10673040</v>
      </c>
      <c r="B65" s="270">
        <v>3230</v>
      </c>
      <c r="C65" s="270" t="s">
        <v>128</v>
      </c>
      <c r="D65" s="270" t="s">
        <v>464</v>
      </c>
      <c r="E65" s="271">
        <v>150000</v>
      </c>
      <c r="F65" s="271">
        <v>147148.51</v>
      </c>
      <c r="G65" s="271">
        <v>150000</v>
      </c>
      <c r="H65" s="271">
        <v>91254</v>
      </c>
      <c r="I65" s="271">
        <v>130000</v>
      </c>
      <c r="J65" s="272">
        <v>150000</v>
      </c>
      <c r="K65" s="271">
        <v>74044</v>
      </c>
      <c r="L65" s="272">
        <v>90000</v>
      </c>
      <c r="M65" s="271">
        <v>56724</v>
      </c>
      <c r="N65" s="272">
        <v>73539.296709677423</v>
      </c>
      <c r="O65" s="271">
        <f>150+50+232408.63</f>
        <v>232608.63</v>
      </c>
      <c r="P65" s="272">
        <v>70807.204000000012</v>
      </c>
      <c r="Q65" s="271">
        <v>179572.52</v>
      </c>
      <c r="R65" s="272">
        <v>125000</v>
      </c>
      <c r="S65" s="272">
        <f>117+120991</f>
        <v>121108</v>
      </c>
      <c r="T65" s="272">
        <v>100000</v>
      </c>
      <c r="U65" s="272">
        <v>211978</v>
      </c>
      <c r="V65" s="272">
        <v>210708</v>
      </c>
      <c r="W65" s="272">
        <v>172116</v>
      </c>
      <c r="X65" s="272">
        <v>312028</v>
      </c>
      <c r="Y65" s="272">
        <v>210378</v>
      </c>
      <c r="Z65" s="273">
        <v>265000</v>
      </c>
      <c r="AA65" s="273">
        <v>200000</v>
      </c>
      <c r="AB65" s="3">
        <f t="shared" si="0"/>
        <v>-65000</v>
      </c>
    </row>
    <row r="66" spans="1:28" x14ac:dyDescent="0.2">
      <c r="A66" s="134">
        <v>10673050</v>
      </c>
      <c r="B66" s="135">
        <v>3290</v>
      </c>
      <c r="C66" s="135" t="s">
        <v>662</v>
      </c>
      <c r="D66" s="135" t="s">
        <v>464</v>
      </c>
      <c r="E66" s="136">
        <v>8500</v>
      </c>
      <c r="F66" s="136">
        <v>11625</v>
      </c>
      <c r="G66" s="136">
        <v>8500</v>
      </c>
      <c r="H66" s="136">
        <v>8550</v>
      </c>
      <c r="I66" s="136">
        <v>9000</v>
      </c>
      <c r="J66" s="137">
        <v>8500</v>
      </c>
      <c r="K66" s="136">
        <v>6400</v>
      </c>
      <c r="L66" s="137">
        <v>8500</v>
      </c>
      <c r="M66" s="136">
        <v>6950</v>
      </c>
      <c r="N66" s="137">
        <v>6804.8387096774195</v>
      </c>
      <c r="O66" s="136">
        <v>6900</v>
      </c>
      <c r="P66" s="137">
        <v>6868.181818181818</v>
      </c>
      <c r="Q66" s="136">
        <v>6450</v>
      </c>
      <c r="R66" s="137">
        <v>6875</v>
      </c>
      <c r="S66" s="137">
        <v>7300</v>
      </c>
      <c r="T66" s="137">
        <v>6575</v>
      </c>
      <c r="U66" s="137">
        <v>8050</v>
      </c>
      <c r="V66" s="137">
        <v>6650</v>
      </c>
      <c r="W66" s="137">
        <v>9032</v>
      </c>
      <c r="X66" s="137">
        <v>6450</v>
      </c>
      <c r="Y66" s="137">
        <v>7150</v>
      </c>
      <c r="Z66" s="152">
        <v>8000</v>
      </c>
      <c r="AA66" s="152">
        <v>7000</v>
      </c>
      <c r="AB66" s="3">
        <f t="shared" si="0"/>
        <v>-1000</v>
      </c>
    </row>
    <row r="67" spans="1:28" x14ac:dyDescent="0.2">
      <c r="A67" s="132">
        <v>10673060</v>
      </c>
      <c r="B67" s="60">
        <v>3290</v>
      </c>
      <c r="C67" s="60" t="s">
        <v>771</v>
      </c>
      <c r="D67" s="60" t="s">
        <v>464</v>
      </c>
      <c r="E67" s="63">
        <v>2500</v>
      </c>
      <c r="F67" s="63">
        <v>850</v>
      </c>
      <c r="G67" s="63">
        <v>2500</v>
      </c>
      <c r="H67" s="63">
        <v>550</v>
      </c>
      <c r="I67" s="63">
        <v>2500</v>
      </c>
      <c r="J67" s="4">
        <v>1000</v>
      </c>
      <c r="K67" s="63">
        <v>1510</v>
      </c>
      <c r="L67" s="4">
        <v>1000</v>
      </c>
      <c r="M67" s="63">
        <v>250</v>
      </c>
      <c r="N67" s="4">
        <v>1053.5483870967741</v>
      </c>
      <c r="O67" s="63">
        <v>150</v>
      </c>
      <c r="P67" s="4">
        <v>702.90909090909088</v>
      </c>
      <c r="Q67" s="63">
        <v>2250</v>
      </c>
      <c r="R67" s="4">
        <v>500</v>
      </c>
      <c r="S67" s="4">
        <v>250</v>
      </c>
      <c r="T67" s="4">
        <v>1075</v>
      </c>
      <c r="U67" s="4">
        <v>1250</v>
      </c>
      <c r="V67" s="4">
        <v>2212</v>
      </c>
      <c r="W67" s="4">
        <v>18855</v>
      </c>
      <c r="X67" s="4">
        <v>5050</v>
      </c>
      <c r="Y67" s="4">
        <v>1750</v>
      </c>
      <c r="Z67" s="151">
        <v>10000</v>
      </c>
      <c r="AA67" s="151">
        <v>2500</v>
      </c>
      <c r="AB67" s="3">
        <f t="shared" si="0"/>
        <v>-7500</v>
      </c>
    </row>
    <row r="68" spans="1:28" x14ac:dyDescent="0.2">
      <c r="A68" s="134">
        <v>10673070</v>
      </c>
      <c r="B68" s="135">
        <v>3290</v>
      </c>
      <c r="C68" s="135" t="s">
        <v>772</v>
      </c>
      <c r="D68" s="135" t="s">
        <v>464</v>
      </c>
      <c r="E68" s="136">
        <v>10000</v>
      </c>
      <c r="F68" s="136">
        <v>8925</v>
      </c>
      <c r="G68" s="136">
        <v>10000</v>
      </c>
      <c r="H68" s="136">
        <v>7025</v>
      </c>
      <c r="I68" s="136">
        <v>7500</v>
      </c>
      <c r="J68" s="137">
        <v>9000</v>
      </c>
      <c r="K68" s="136">
        <v>5650</v>
      </c>
      <c r="L68" s="137">
        <v>9000</v>
      </c>
      <c r="M68" s="136">
        <v>5325</v>
      </c>
      <c r="N68" s="137">
        <v>6299.5161290322585</v>
      </c>
      <c r="O68" s="136">
        <v>6460</v>
      </c>
      <c r="P68" s="137">
        <v>5874.272727272727</v>
      </c>
      <c r="Q68" s="136">
        <v>8824.7999999999993</v>
      </c>
      <c r="R68" s="137">
        <v>6150</v>
      </c>
      <c r="S68" s="137">
        <v>6675</v>
      </c>
      <c r="T68" s="137">
        <v>6900</v>
      </c>
      <c r="U68" s="137">
        <v>10075</v>
      </c>
      <c r="V68" s="137">
        <v>20581</v>
      </c>
      <c r="W68" s="137">
        <v>9494</v>
      </c>
      <c r="X68" s="137">
        <v>12175</v>
      </c>
      <c r="Y68" s="137">
        <v>31073</v>
      </c>
      <c r="Z68" s="152">
        <v>12000</v>
      </c>
      <c r="AA68" s="152">
        <v>25000</v>
      </c>
      <c r="AB68" s="3">
        <f t="shared" si="0"/>
        <v>13000</v>
      </c>
    </row>
    <row r="69" spans="1:28" x14ac:dyDescent="0.2">
      <c r="A69" s="132">
        <v>10673080</v>
      </c>
      <c r="B69" s="60">
        <v>3290</v>
      </c>
      <c r="C69" s="60" t="s">
        <v>416</v>
      </c>
      <c r="D69" s="60" t="s">
        <v>464</v>
      </c>
      <c r="E69" s="63">
        <v>1200</v>
      </c>
      <c r="F69" s="63">
        <v>2094.48</v>
      </c>
      <c r="G69" s="63">
        <v>1200</v>
      </c>
      <c r="H69" s="63">
        <v>1162.73</v>
      </c>
      <c r="I69" s="63">
        <v>1500</v>
      </c>
      <c r="J69" s="4">
        <v>1500</v>
      </c>
      <c r="K69" s="63">
        <v>482.59</v>
      </c>
      <c r="L69" s="4">
        <v>1500</v>
      </c>
      <c r="M69" s="63">
        <v>751.91</v>
      </c>
      <c r="N69" s="4">
        <v>775.3370967741937</v>
      </c>
      <c r="O69" s="63">
        <v>477.48</v>
      </c>
      <c r="P69" s="4">
        <v>765.11436363636358</v>
      </c>
      <c r="Q69" s="63">
        <f>-540.67+846.78+40.45</f>
        <v>346.56</v>
      </c>
      <c r="R69" s="4">
        <v>700</v>
      </c>
      <c r="S69" s="4">
        <v>0</v>
      </c>
      <c r="T69" s="4">
        <v>500</v>
      </c>
      <c r="U69" s="4">
        <v>0</v>
      </c>
      <c r="V69" s="4">
        <v>0</v>
      </c>
      <c r="W69" s="4">
        <v>0</v>
      </c>
      <c r="X69" s="4">
        <v>0</v>
      </c>
      <c r="Y69" s="4">
        <v>0</v>
      </c>
      <c r="Z69" s="151">
        <v>90</v>
      </c>
      <c r="AA69" s="151">
        <v>90</v>
      </c>
      <c r="AB69" s="3">
        <f t="shared" si="0"/>
        <v>0</v>
      </c>
    </row>
    <row r="70" spans="1:28" x14ac:dyDescent="0.2">
      <c r="A70" s="134">
        <v>10673120</v>
      </c>
      <c r="B70" s="135">
        <v>3290</v>
      </c>
      <c r="C70" s="135" t="s">
        <v>417</v>
      </c>
      <c r="D70" s="135" t="s">
        <v>464</v>
      </c>
      <c r="E70" s="136">
        <v>5800</v>
      </c>
      <c r="F70" s="136">
        <v>6700.16</v>
      </c>
      <c r="G70" s="136">
        <v>5800</v>
      </c>
      <c r="H70" s="136">
        <v>4559</v>
      </c>
      <c r="I70" s="136">
        <v>6000</v>
      </c>
      <c r="J70" s="137">
        <v>6000</v>
      </c>
      <c r="K70" s="136">
        <v>5257</v>
      </c>
      <c r="L70" s="137">
        <v>6000</v>
      </c>
      <c r="M70" s="136">
        <v>5251.24</v>
      </c>
      <c r="N70" s="137">
        <v>6234.6554838709671</v>
      </c>
      <c r="O70" s="136">
        <v>4809</v>
      </c>
      <c r="P70" s="137">
        <v>5805.5287272727273</v>
      </c>
      <c r="Q70" s="136">
        <f>7201.44+210</f>
        <v>7411.44</v>
      </c>
      <c r="R70" s="137">
        <v>5700</v>
      </c>
      <c r="S70" s="137">
        <v>0</v>
      </c>
      <c r="T70" s="137">
        <v>6100</v>
      </c>
      <c r="U70" s="137">
        <v>0</v>
      </c>
      <c r="V70" s="137">
        <v>49</v>
      </c>
      <c r="W70" s="137">
        <v>0</v>
      </c>
      <c r="X70" s="137">
        <v>0</v>
      </c>
      <c r="Y70" s="137">
        <v>0</v>
      </c>
      <c r="Z70" s="152">
        <v>500</v>
      </c>
      <c r="AA70" s="152">
        <v>500</v>
      </c>
      <c r="AB70" s="3">
        <f t="shared" si="0"/>
        <v>0</v>
      </c>
    </row>
    <row r="71" spans="1:28" x14ac:dyDescent="0.2">
      <c r="A71" s="132">
        <v>10673150</v>
      </c>
      <c r="B71" s="60">
        <v>3290</v>
      </c>
      <c r="C71" s="60" t="s">
        <v>1367</v>
      </c>
      <c r="D71" s="60" t="s">
        <v>464</v>
      </c>
      <c r="E71" s="63">
        <v>5500</v>
      </c>
      <c r="F71" s="63">
        <v>4650</v>
      </c>
      <c r="G71" s="63">
        <v>5500</v>
      </c>
      <c r="H71" s="63">
        <v>3325</v>
      </c>
      <c r="I71" s="63">
        <v>5000</v>
      </c>
      <c r="J71" s="4">
        <v>5000</v>
      </c>
      <c r="K71" s="63">
        <v>2050</v>
      </c>
      <c r="L71" s="4">
        <v>5000</v>
      </c>
      <c r="M71" s="63">
        <v>2750</v>
      </c>
      <c r="N71" s="4">
        <v>2619.0322580645161</v>
      </c>
      <c r="O71" s="63">
        <v>2550</v>
      </c>
      <c r="P71" s="4">
        <v>2676.181818181818</v>
      </c>
      <c r="Q71" s="63">
        <v>2150</v>
      </c>
      <c r="R71" s="4">
        <v>2675</v>
      </c>
      <c r="S71" s="4">
        <v>3600</v>
      </c>
      <c r="T71" s="4">
        <v>2400</v>
      </c>
      <c r="U71" s="4">
        <v>2350</v>
      </c>
      <c r="V71" s="4">
        <v>2600</v>
      </c>
      <c r="W71" s="4">
        <v>3500</v>
      </c>
      <c r="X71" s="4">
        <v>4900</v>
      </c>
      <c r="Y71" s="4">
        <v>3000</v>
      </c>
      <c r="Z71" s="151">
        <v>4500</v>
      </c>
      <c r="AA71" s="151">
        <v>3000</v>
      </c>
      <c r="AB71" s="3">
        <f t="shared" si="0"/>
        <v>-1500</v>
      </c>
    </row>
    <row r="72" spans="1:28" x14ac:dyDescent="0.2">
      <c r="A72" s="134">
        <v>10673230</v>
      </c>
      <c r="B72" s="135">
        <v>3290</v>
      </c>
      <c r="C72" s="135" t="s">
        <v>166</v>
      </c>
      <c r="D72" s="135" t="s">
        <v>464</v>
      </c>
      <c r="E72" s="136">
        <v>13450</v>
      </c>
      <c r="F72" s="136">
        <v>25450</v>
      </c>
      <c r="G72" s="136">
        <v>13450</v>
      </c>
      <c r="H72" s="136">
        <v>19700</v>
      </c>
      <c r="I72" s="136">
        <v>13000</v>
      </c>
      <c r="J72" s="137">
        <v>15000</v>
      </c>
      <c r="K72" s="136">
        <v>20790</v>
      </c>
      <c r="L72" s="137">
        <v>15000</v>
      </c>
      <c r="M72" s="136">
        <v>18600</v>
      </c>
      <c r="N72" s="137">
        <v>20096.451612903227</v>
      </c>
      <c r="O72" s="136">
        <v>16775</v>
      </c>
      <c r="P72" s="137">
        <v>19443.454545454544</v>
      </c>
      <c r="Q72" s="136">
        <v>20456</v>
      </c>
      <c r="R72" s="137">
        <v>18875</v>
      </c>
      <c r="S72" s="137">
        <v>23275</v>
      </c>
      <c r="T72" s="137">
        <v>19000</v>
      </c>
      <c r="U72" s="137">
        <v>23425</v>
      </c>
      <c r="V72" s="137">
        <v>22375</v>
      </c>
      <c r="W72" s="137">
        <v>21850</v>
      </c>
      <c r="X72" s="137">
        <v>23775</v>
      </c>
      <c r="Y72" s="137">
        <v>24820</v>
      </c>
      <c r="Z72" s="152">
        <v>35000</v>
      </c>
      <c r="AA72" s="152">
        <v>52000</v>
      </c>
      <c r="AB72" s="3">
        <f t="shared" si="0"/>
        <v>17000</v>
      </c>
    </row>
    <row r="73" spans="1:28" x14ac:dyDescent="0.2">
      <c r="A73" s="132">
        <v>10673310</v>
      </c>
      <c r="B73" s="60">
        <v>3290</v>
      </c>
      <c r="C73" s="60" t="s">
        <v>1553</v>
      </c>
      <c r="D73" s="60" t="s">
        <v>464</v>
      </c>
      <c r="E73" s="63">
        <v>3000</v>
      </c>
      <c r="F73" s="63">
        <v>2650</v>
      </c>
      <c r="G73" s="63">
        <v>3000</v>
      </c>
      <c r="H73" s="63">
        <v>1825</v>
      </c>
      <c r="I73" s="63">
        <v>2500</v>
      </c>
      <c r="J73" s="4">
        <v>2000</v>
      </c>
      <c r="K73" s="63">
        <v>1925</v>
      </c>
      <c r="L73" s="4">
        <v>2000</v>
      </c>
      <c r="M73" s="63">
        <v>1700</v>
      </c>
      <c r="N73" s="4">
        <v>1920.9677419354839</v>
      </c>
      <c r="O73" s="63">
        <v>1750</v>
      </c>
      <c r="P73" s="4">
        <v>1824.5454545454545</v>
      </c>
      <c r="Q73" s="63">
        <v>1800</v>
      </c>
      <c r="R73" s="4">
        <v>1850</v>
      </c>
      <c r="S73" s="4">
        <v>1875</v>
      </c>
      <c r="T73" s="4">
        <v>1800</v>
      </c>
      <c r="U73" s="4">
        <v>1600</v>
      </c>
      <c r="V73" s="4">
        <v>1750</v>
      </c>
      <c r="W73" s="4">
        <v>1850</v>
      </c>
      <c r="X73" s="4">
        <v>2125</v>
      </c>
      <c r="Y73" s="4">
        <v>1925</v>
      </c>
      <c r="Z73" s="151">
        <v>2000</v>
      </c>
      <c r="AA73" s="151">
        <v>2000</v>
      </c>
      <c r="AB73" s="3">
        <f t="shared" si="0"/>
        <v>0</v>
      </c>
    </row>
    <row r="74" spans="1:28" x14ac:dyDescent="0.2">
      <c r="A74" s="134">
        <v>10674250</v>
      </c>
      <c r="B74" s="135">
        <v>3401</v>
      </c>
      <c r="C74" s="135" t="s">
        <v>227</v>
      </c>
      <c r="D74" s="135" t="s">
        <v>464</v>
      </c>
      <c r="E74" s="136">
        <v>750</v>
      </c>
      <c r="F74" s="136">
        <v>501</v>
      </c>
      <c r="G74" s="136">
        <v>750</v>
      </c>
      <c r="H74" s="136">
        <v>170</v>
      </c>
      <c r="I74" s="136">
        <v>500</v>
      </c>
      <c r="J74" s="137">
        <v>500</v>
      </c>
      <c r="K74" s="136">
        <v>50</v>
      </c>
      <c r="L74" s="137">
        <v>500</v>
      </c>
      <c r="M74" s="136">
        <v>206</v>
      </c>
      <c r="N74" s="137">
        <v>128.12903225806451</v>
      </c>
      <c r="O74" s="136">
        <v>20</v>
      </c>
      <c r="P74" s="137">
        <v>162.1090909090909</v>
      </c>
      <c r="Q74" s="136">
        <v>40</v>
      </c>
      <c r="R74" s="137">
        <v>162.1090909090909</v>
      </c>
      <c r="S74" s="137">
        <v>0</v>
      </c>
      <c r="T74" s="137">
        <v>100</v>
      </c>
      <c r="U74" s="137">
        <v>67</v>
      </c>
      <c r="V74" s="137">
        <v>0</v>
      </c>
      <c r="W74" s="137">
        <v>0</v>
      </c>
      <c r="X74" s="137">
        <v>0</v>
      </c>
      <c r="Y74" s="137">
        <v>0</v>
      </c>
      <c r="Z74" s="152">
        <v>60</v>
      </c>
      <c r="AA74" s="152">
        <v>60</v>
      </c>
      <c r="AB74" s="3">
        <f t="shared" si="0"/>
        <v>0</v>
      </c>
    </row>
    <row r="75" spans="1:28" s="300" customFormat="1" ht="13.5" thickBot="1" x14ac:dyDescent="0.25">
      <c r="A75" s="142">
        <v>10674290</v>
      </c>
      <c r="B75" s="143">
        <v>3230</v>
      </c>
      <c r="C75" s="143" t="s">
        <v>527</v>
      </c>
      <c r="D75" s="143" t="s">
        <v>464</v>
      </c>
      <c r="E75" s="144"/>
      <c r="F75" s="144"/>
      <c r="G75" s="144"/>
      <c r="H75" s="144"/>
      <c r="I75" s="144"/>
      <c r="J75" s="145"/>
      <c r="K75" s="144"/>
      <c r="L75" s="145"/>
      <c r="M75" s="144"/>
      <c r="N75" s="145"/>
      <c r="O75" s="144"/>
      <c r="P75" s="145"/>
      <c r="Q75" s="144"/>
      <c r="R75" s="145"/>
      <c r="S75" s="145"/>
      <c r="T75" s="145"/>
      <c r="U75" s="145">
        <v>0</v>
      </c>
      <c r="V75" s="145">
        <v>0</v>
      </c>
      <c r="W75" s="145">
        <v>446</v>
      </c>
      <c r="X75" s="145">
        <v>401</v>
      </c>
      <c r="Y75" s="145">
        <v>567</v>
      </c>
      <c r="Z75" s="160">
        <v>0</v>
      </c>
      <c r="AA75" s="160">
        <v>500</v>
      </c>
      <c r="AB75" s="3">
        <f t="shared" ref="AB75:AB138" si="1">+AA75-Z75</f>
        <v>500</v>
      </c>
    </row>
    <row r="76" spans="1:28" ht="13.5" thickBot="1" x14ac:dyDescent="0.25">
      <c r="A76" s="142">
        <v>10774990</v>
      </c>
      <c r="B76" s="143">
        <v>3401</v>
      </c>
      <c r="C76" s="143" t="s">
        <v>1060</v>
      </c>
      <c r="D76" s="143" t="s">
        <v>742</v>
      </c>
      <c r="E76" s="144">
        <v>150</v>
      </c>
      <c r="F76" s="144">
        <v>338</v>
      </c>
      <c r="G76" s="144">
        <v>150</v>
      </c>
      <c r="H76" s="144">
        <v>2</v>
      </c>
      <c r="I76" s="144">
        <v>150</v>
      </c>
      <c r="J76" s="145">
        <v>150</v>
      </c>
      <c r="K76" s="144">
        <v>0</v>
      </c>
      <c r="L76" s="145">
        <v>150</v>
      </c>
      <c r="M76" s="144">
        <v>0</v>
      </c>
      <c r="N76" s="145">
        <v>150</v>
      </c>
      <c r="O76" s="144">
        <v>1940</v>
      </c>
      <c r="P76" s="145">
        <v>173.29090909090908</v>
      </c>
      <c r="Q76" s="144">
        <v>350</v>
      </c>
      <c r="R76" s="145">
        <v>815</v>
      </c>
      <c r="S76" s="145">
        <v>491.75</v>
      </c>
      <c r="T76" s="145">
        <v>700</v>
      </c>
      <c r="U76" s="145">
        <v>0</v>
      </c>
      <c r="V76" s="145">
        <v>0</v>
      </c>
      <c r="W76" s="145">
        <v>25</v>
      </c>
      <c r="X76" s="145">
        <v>0</v>
      </c>
      <c r="Y76" s="145">
        <v>0</v>
      </c>
      <c r="Z76" s="160">
        <v>0</v>
      </c>
      <c r="AA76" s="160">
        <v>0</v>
      </c>
      <c r="AB76" s="3">
        <f t="shared" si="1"/>
        <v>0</v>
      </c>
    </row>
    <row r="77" spans="1:28" x14ac:dyDescent="0.2">
      <c r="A77" s="134">
        <v>10872020</v>
      </c>
      <c r="B77" s="135">
        <v>3353</v>
      </c>
      <c r="C77" s="135" t="s">
        <v>743</v>
      </c>
      <c r="D77" s="135" t="s">
        <v>854</v>
      </c>
      <c r="E77" s="136">
        <v>500000</v>
      </c>
      <c r="F77" s="136">
        <v>480351</v>
      </c>
      <c r="G77" s="136">
        <v>500000</v>
      </c>
      <c r="H77" s="136">
        <v>472026.85</v>
      </c>
      <c r="I77" s="136">
        <v>469642</v>
      </c>
      <c r="J77" s="137">
        <v>488628</v>
      </c>
      <c r="K77" s="136">
        <v>501699.03</v>
      </c>
      <c r="L77" s="137">
        <v>504936</v>
      </c>
      <c r="M77" s="136">
        <v>484684.53</v>
      </c>
      <c r="N77" s="137">
        <v>508000</v>
      </c>
      <c r="O77" s="136">
        <v>589625.76</v>
      </c>
      <c r="P77" s="137">
        <v>589626</v>
      </c>
      <c r="Q77" s="136">
        <v>582824.51</v>
      </c>
      <c r="R77" s="137">
        <f>-86052+589626</f>
        <v>503574</v>
      </c>
      <c r="S77" s="137">
        <v>502027.15</v>
      </c>
      <c r="T77" s="137">
        <v>500216</v>
      </c>
      <c r="U77" s="137">
        <v>1089188.2</v>
      </c>
      <c r="V77" s="137">
        <v>597403.52</v>
      </c>
      <c r="W77" s="137">
        <v>606987</v>
      </c>
      <c r="X77" s="137">
        <v>580667</v>
      </c>
      <c r="Y77" s="137">
        <v>589261</v>
      </c>
      <c r="Z77" s="152">
        <v>599819</v>
      </c>
      <c r="AA77" s="152">
        <v>592000</v>
      </c>
      <c r="AB77" s="3">
        <f t="shared" si="1"/>
        <v>-7819</v>
      </c>
    </row>
    <row r="78" spans="1:28" x14ac:dyDescent="0.2">
      <c r="A78" s="132">
        <v>10872290</v>
      </c>
      <c r="B78" s="60">
        <v>3311</v>
      </c>
      <c r="C78" s="60" t="s">
        <v>1409</v>
      </c>
      <c r="D78" s="60" t="s">
        <v>854</v>
      </c>
      <c r="E78" s="63">
        <v>0</v>
      </c>
      <c r="F78" s="63">
        <v>4251.54</v>
      </c>
      <c r="G78" s="63">
        <v>0</v>
      </c>
      <c r="H78" s="63">
        <v>85731.58</v>
      </c>
      <c r="I78" s="63">
        <v>1115000</v>
      </c>
      <c r="J78" s="4">
        <v>0</v>
      </c>
      <c r="K78" s="63"/>
      <c r="L78" s="4">
        <v>0</v>
      </c>
      <c r="M78" s="63"/>
      <c r="N78" s="4">
        <v>540000</v>
      </c>
      <c r="O78" s="63"/>
      <c r="P78" s="4">
        <v>0</v>
      </c>
      <c r="Q78" s="63"/>
      <c r="R78" s="4">
        <v>0</v>
      </c>
      <c r="S78" s="4"/>
      <c r="T78" s="4">
        <v>0</v>
      </c>
      <c r="U78" s="4">
        <v>7290</v>
      </c>
      <c r="V78" s="4">
        <v>5220</v>
      </c>
      <c r="W78" s="4">
        <v>5220</v>
      </c>
      <c r="X78" s="4">
        <v>0</v>
      </c>
      <c r="Y78" s="4">
        <v>0</v>
      </c>
      <c r="Z78" s="151">
        <v>0</v>
      </c>
      <c r="AA78" s="151">
        <v>0</v>
      </c>
      <c r="AB78" s="3">
        <f t="shared" si="1"/>
        <v>0</v>
      </c>
    </row>
    <row r="79" spans="1:28" hidden="1" x14ac:dyDescent="0.2">
      <c r="A79" s="132">
        <v>10874260</v>
      </c>
      <c r="B79" s="60">
        <v>3401</v>
      </c>
      <c r="C79" s="60" t="s">
        <v>1548</v>
      </c>
      <c r="D79" s="60" t="s">
        <v>854</v>
      </c>
      <c r="E79" s="63">
        <v>700</v>
      </c>
      <c r="F79" s="63">
        <v>0</v>
      </c>
      <c r="G79" s="63">
        <v>700</v>
      </c>
      <c r="H79" s="63">
        <v>0</v>
      </c>
      <c r="I79" s="63">
        <v>0</v>
      </c>
      <c r="J79" s="4">
        <v>0</v>
      </c>
      <c r="K79" s="63"/>
      <c r="L79" s="4">
        <v>0</v>
      </c>
      <c r="M79" s="63"/>
      <c r="N79" s="4">
        <v>0</v>
      </c>
      <c r="O79" s="63"/>
      <c r="P79" s="4">
        <v>0</v>
      </c>
      <c r="Q79" s="63"/>
      <c r="R79" s="4">
        <v>0</v>
      </c>
      <c r="S79" s="4"/>
      <c r="T79" s="4">
        <v>0</v>
      </c>
      <c r="U79" s="4"/>
      <c r="V79" s="4">
        <v>775</v>
      </c>
      <c r="W79" s="4">
        <v>775</v>
      </c>
      <c r="X79" s="4">
        <v>0</v>
      </c>
      <c r="Y79" s="4">
        <v>0</v>
      </c>
      <c r="Z79" s="151"/>
      <c r="AA79" s="151"/>
      <c r="AB79" s="3">
        <f t="shared" si="1"/>
        <v>0</v>
      </c>
    </row>
    <row r="80" spans="1:28" hidden="1" x14ac:dyDescent="0.2">
      <c r="A80" s="132">
        <v>10874350</v>
      </c>
      <c r="B80" s="60">
        <v>3401</v>
      </c>
      <c r="C80" s="60" t="s">
        <v>1531</v>
      </c>
      <c r="D80" s="60" t="s">
        <v>854</v>
      </c>
      <c r="E80" s="63">
        <v>0</v>
      </c>
      <c r="F80" s="63">
        <v>0</v>
      </c>
      <c r="G80" s="63">
        <v>0</v>
      </c>
      <c r="H80" s="63">
        <v>21396.17</v>
      </c>
      <c r="I80" s="63">
        <v>0</v>
      </c>
      <c r="J80" s="4">
        <v>0</v>
      </c>
      <c r="K80" s="63"/>
      <c r="L80" s="4">
        <v>0</v>
      </c>
      <c r="M80" s="63"/>
      <c r="N80" s="4">
        <v>0</v>
      </c>
      <c r="O80" s="63"/>
      <c r="P80" s="4">
        <v>0</v>
      </c>
      <c r="Q80" s="63"/>
      <c r="R80" s="4">
        <v>0</v>
      </c>
      <c r="S80" s="4"/>
      <c r="T80" s="4">
        <v>0</v>
      </c>
      <c r="U80" s="4"/>
      <c r="V80" s="4"/>
      <c r="W80" s="4"/>
      <c r="X80" s="4">
        <v>0</v>
      </c>
      <c r="Y80" s="4">
        <v>0</v>
      </c>
      <c r="Z80" s="151"/>
      <c r="AA80" s="151"/>
      <c r="AB80" s="3">
        <f t="shared" si="1"/>
        <v>0</v>
      </c>
    </row>
    <row r="81" spans="1:28" hidden="1" x14ac:dyDescent="0.2">
      <c r="A81" s="132">
        <v>10874360</v>
      </c>
      <c r="B81" s="60">
        <v>3401</v>
      </c>
      <c r="C81" s="60" t="s">
        <v>304</v>
      </c>
      <c r="D81" s="60" t="s">
        <v>854</v>
      </c>
      <c r="E81" s="63">
        <v>0</v>
      </c>
      <c r="F81" s="63">
        <v>0</v>
      </c>
      <c r="G81" s="63">
        <v>0</v>
      </c>
      <c r="H81" s="63">
        <v>0</v>
      </c>
      <c r="I81" s="63">
        <v>0</v>
      </c>
      <c r="J81" s="4"/>
      <c r="K81" s="63">
        <v>1524</v>
      </c>
      <c r="L81" s="4"/>
      <c r="M81" s="63">
        <v>31302.880000000001</v>
      </c>
      <c r="N81" s="4">
        <v>0</v>
      </c>
      <c r="O81" s="63"/>
      <c r="P81" s="4">
        <v>0</v>
      </c>
      <c r="Q81" s="63"/>
      <c r="R81" s="4">
        <v>0</v>
      </c>
      <c r="S81" s="4">
        <v>31000</v>
      </c>
      <c r="T81" s="4">
        <v>0</v>
      </c>
      <c r="U81" s="4">
        <v>0</v>
      </c>
      <c r="V81" s="4">
        <v>0</v>
      </c>
      <c r="W81" s="4">
        <v>0</v>
      </c>
      <c r="X81" s="4">
        <v>0</v>
      </c>
      <c r="Y81" s="4">
        <v>0</v>
      </c>
      <c r="Z81" s="151"/>
      <c r="AA81" s="151"/>
      <c r="AB81" s="3">
        <f t="shared" si="1"/>
        <v>0</v>
      </c>
    </row>
    <row r="82" spans="1:28" x14ac:dyDescent="0.2">
      <c r="A82" s="132">
        <v>10874990</v>
      </c>
      <c r="B82" s="60">
        <v>3401</v>
      </c>
      <c r="C82" s="60" t="s">
        <v>1060</v>
      </c>
      <c r="D82" s="60" t="s">
        <v>854</v>
      </c>
      <c r="E82" s="63">
        <v>500</v>
      </c>
      <c r="F82" s="63">
        <v>1547.13</v>
      </c>
      <c r="G82" s="63">
        <v>500</v>
      </c>
      <c r="H82" s="63">
        <v>507.19</v>
      </c>
      <c r="I82" s="63">
        <v>500</v>
      </c>
      <c r="J82" s="4">
        <v>500</v>
      </c>
      <c r="K82" s="63"/>
      <c r="L82" s="4">
        <v>500</v>
      </c>
      <c r="M82" s="63">
        <v>0</v>
      </c>
      <c r="N82" s="4">
        <v>0</v>
      </c>
      <c r="O82" s="63">
        <v>106.25</v>
      </c>
      <c r="P82" s="4">
        <v>890.87090909090909</v>
      </c>
      <c r="Q82" s="63">
        <v>1911.96</v>
      </c>
      <c r="R82" s="4">
        <v>890.87090909090909</v>
      </c>
      <c r="S82" s="4">
        <f>8.5+873.58</f>
        <v>882.08</v>
      </c>
      <c r="T82" s="4">
        <v>900</v>
      </c>
      <c r="U82" s="4">
        <v>0</v>
      </c>
      <c r="V82" s="4">
        <v>4228.24</v>
      </c>
      <c r="W82" s="4">
        <v>1625</v>
      </c>
      <c r="X82" s="4">
        <f>5025+3975</f>
        <v>9000</v>
      </c>
      <c r="Y82" s="4">
        <v>2225</v>
      </c>
      <c r="Z82" s="151">
        <v>2500</v>
      </c>
      <c r="AA82" s="151">
        <v>2500</v>
      </c>
      <c r="AB82" s="3">
        <f t="shared" si="1"/>
        <v>0</v>
      </c>
    </row>
    <row r="83" spans="1:28" ht="13.5" thickBot="1" x14ac:dyDescent="0.25">
      <c r="A83" s="138">
        <v>424276250</v>
      </c>
      <c r="B83" s="284">
        <v>4312</v>
      </c>
      <c r="C83" s="139" t="s">
        <v>1010</v>
      </c>
      <c r="D83" s="139" t="s">
        <v>1010</v>
      </c>
      <c r="E83" s="139" t="s">
        <v>1010</v>
      </c>
      <c r="F83" s="139" t="s">
        <v>1010</v>
      </c>
      <c r="G83" s="139" t="s">
        <v>1010</v>
      </c>
      <c r="H83" s="140"/>
      <c r="I83" s="140"/>
      <c r="J83" s="141"/>
      <c r="K83" s="140"/>
      <c r="L83" s="141">
        <v>0</v>
      </c>
      <c r="M83" s="140">
        <v>5</v>
      </c>
      <c r="N83" s="141">
        <v>155000</v>
      </c>
      <c r="O83" s="140">
        <v>113570</v>
      </c>
      <c r="P83" s="141">
        <v>155000</v>
      </c>
      <c r="Q83" s="140">
        <v>120495</v>
      </c>
      <c r="R83" s="141">
        <v>135000</v>
      </c>
      <c r="S83" s="141">
        <v>121880</v>
      </c>
      <c r="T83" s="141">
        <v>135000</v>
      </c>
      <c r="U83" s="141">
        <v>126540</v>
      </c>
      <c r="V83" s="141">
        <v>127974.48</v>
      </c>
      <c r="W83" s="141">
        <v>127205</v>
      </c>
      <c r="X83" s="141">
        <v>134838</v>
      </c>
      <c r="Y83" s="141">
        <v>131245</v>
      </c>
      <c r="Z83" s="159">
        <v>135000</v>
      </c>
      <c r="AA83" s="159">
        <v>135000</v>
      </c>
      <c r="AB83" s="3">
        <f t="shared" si="1"/>
        <v>0</v>
      </c>
    </row>
    <row r="84" spans="1:28" x14ac:dyDescent="0.2">
      <c r="A84" s="274">
        <v>424279210</v>
      </c>
      <c r="B84" s="182">
        <v>3934</v>
      </c>
      <c r="C84" s="60" t="s">
        <v>5</v>
      </c>
      <c r="D84" s="60" t="s">
        <v>1861</v>
      </c>
      <c r="E84" s="63">
        <v>0</v>
      </c>
      <c r="F84" s="63">
        <v>0</v>
      </c>
      <c r="G84" s="63">
        <v>0</v>
      </c>
      <c r="H84" s="63">
        <v>0</v>
      </c>
      <c r="I84" s="63">
        <v>0</v>
      </c>
      <c r="J84" s="4"/>
      <c r="K84" s="63">
        <v>579728.69999999995</v>
      </c>
      <c r="L84" s="4"/>
      <c r="M84" s="63">
        <v>-3756.56</v>
      </c>
      <c r="N84" s="4">
        <v>0</v>
      </c>
      <c r="O84" s="63"/>
      <c r="P84" s="4"/>
      <c r="Q84" s="63"/>
      <c r="R84" s="4"/>
      <c r="S84" s="4">
        <v>107673.14</v>
      </c>
      <c r="T84" s="4"/>
      <c r="U84" s="4">
        <v>245146</v>
      </c>
      <c r="V84" s="4">
        <v>-127974</v>
      </c>
      <c r="W84" s="4">
        <v>-2205</v>
      </c>
      <c r="X84" s="4">
        <v>-9838</v>
      </c>
      <c r="Y84" s="4">
        <v>3755</v>
      </c>
      <c r="Z84" s="151"/>
      <c r="AA84" s="151"/>
      <c r="AB84" s="3">
        <f t="shared" si="1"/>
        <v>0</v>
      </c>
    </row>
    <row r="85" spans="1:28" x14ac:dyDescent="0.2">
      <c r="A85" s="274">
        <v>10878240</v>
      </c>
      <c r="B85" s="182">
        <v>3503</v>
      </c>
      <c r="C85" s="60" t="s">
        <v>1062</v>
      </c>
      <c r="D85" s="60" t="s">
        <v>854</v>
      </c>
      <c r="E85" s="63">
        <v>0</v>
      </c>
      <c r="F85" s="63">
        <v>166.45</v>
      </c>
      <c r="G85" s="63">
        <v>0</v>
      </c>
      <c r="H85" s="63">
        <v>0</v>
      </c>
      <c r="I85" s="63">
        <v>0</v>
      </c>
      <c r="J85" s="4">
        <v>0</v>
      </c>
      <c r="K85" s="63"/>
      <c r="L85" s="4">
        <v>0</v>
      </c>
      <c r="M85" s="63"/>
      <c r="N85" s="4">
        <v>0</v>
      </c>
      <c r="O85" s="63">
        <v>5000</v>
      </c>
      <c r="P85" s="4">
        <v>0</v>
      </c>
      <c r="Q85" s="63">
        <v>0</v>
      </c>
      <c r="R85" s="4">
        <v>0</v>
      </c>
      <c r="S85" s="4">
        <v>0</v>
      </c>
      <c r="T85" s="4">
        <v>0</v>
      </c>
      <c r="U85" s="4">
        <v>0</v>
      </c>
      <c r="V85" s="4">
        <v>0</v>
      </c>
      <c r="W85" s="4">
        <v>0</v>
      </c>
      <c r="X85" s="4">
        <v>0</v>
      </c>
      <c r="Y85" s="4">
        <v>0</v>
      </c>
      <c r="Z85" s="151"/>
      <c r="AA85" s="151"/>
      <c r="AB85" s="3">
        <f t="shared" si="1"/>
        <v>0</v>
      </c>
    </row>
    <row r="86" spans="1:28" x14ac:dyDescent="0.2">
      <c r="A86" s="132">
        <v>10972290</v>
      </c>
      <c r="B86" s="60">
        <v>3311</v>
      </c>
      <c r="C86" s="60" t="s">
        <v>390</v>
      </c>
      <c r="D86" s="60" t="s">
        <v>341</v>
      </c>
      <c r="E86" s="63">
        <v>300000</v>
      </c>
      <c r="F86" s="63">
        <v>0</v>
      </c>
      <c r="G86" s="63">
        <v>0</v>
      </c>
      <c r="H86" s="63">
        <v>317244.19</v>
      </c>
      <c r="I86" s="63">
        <v>0</v>
      </c>
      <c r="J86" s="4">
        <v>0</v>
      </c>
      <c r="K86" s="63"/>
      <c r="L86" s="4">
        <v>0</v>
      </c>
      <c r="M86" s="63"/>
      <c r="N86" s="4">
        <v>0</v>
      </c>
      <c r="O86" s="63"/>
      <c r="P86" s="4">
        <v>0</v>
      </c>
      <c r="Q86" s="63">
        <v>0</v>
      </c>
      <c r="R86" s="4">
        <v>0</v>
      </c>
      <c r="S86" s="4"/>
      <c r="T86" s="4">
        <v>0</v>
      </c>
      <c r="U86" s="4">
        <v>0</v>
      </c>
      <c r="V86" s="4"/>
      <c r="W86" s="4"/>
      <c r="X86" s="4">
        <v>0</v>
      </c>
      <c r="Y86" s="4">
        <v>0</v>
      </c>
      <c r="Z86" s="151"/>
      <c r="AA86" s="151"/>
      <c r="AB86" s="3">
        <f t="shared" si="1"/>
        <v>0</v>
      </c>
    </row>
    <row r="87" spans="1:28" x14ac:dyDescent="0.2">
      <c r="A87" s="132">
        <v>10974180</v>
      </c>
      <c r="B87" s="60">
        <v>3401</v>
      </c>
      <c r="C87" s="60" t="s">
        <v>179</v>
      </c>
      <c r="D87" s="60" t="s">
        <v>341</v>
      </c>
      <c r="E87" s="63">
        <v>100000</v>
      </c>
      <c r="F87" s="63">
        <v>96345</v>
      </c>
      <c r="G87" s="63">
        <v>100000</v>
      </c>
      <c r="H87" s="63">
        <v>91672.29</v>
      </c>
      <c r="I87" s="63">
        <v>100000</v>
      </c>
      <c r="J87" s="4">
        <v>100000</v>
      </c>
      <c r="K87" s="63">
        <v>114674.58</v>
      </c>
      <c r="L87" s="4">
        <v>120000</v>
      </c>
      <c r="M87" s="63">
        <v>87878.6</v>
      </c>
      <c r="N87" s="4">
        <v>120000</v>
      </c>
      <c r="O87" s="63">
        <v>71266.78</v>
      </c>
      <c r="P87" s="4">
        <f>14070+110430.456727273</f>
        <v>124500.45672727301</v>
      </c>
      <c r="Q87" s="63">
        <v>135444.73000000001</v>
      </c>
      <c r="R87" s="4">
        <f>36500+100800</f>
        <v>137300</v>
      </c>
      <c r="S87" s="4">
        <v>105454.67</v>
      </c>
      <c r="T87" s="4">
        <v>110000</v>
      </c>
      <c r="U87" s="4">
        <v>103775.34</v>
      </c>
      <c r="V87" s="4">
        <v>92105.73</v>
      </c>
      <c r="W87" s="4">
        <v>69944</v>
      </c>
      <c r="X87" s="4">
        <v>37599</v>
      </c>
      <c r="Y87" s="4">
        <v>55328</v>
      </c>
      <c r="Z87" s="151">
        <v>55000</v>
      </c>
      <c r="AA87" s="151">
        <v>55000</v>
      </c>
      <c r="AB87" s="3">
        <f t="shared" si="1"/>
        <v>0</v>
      </c>
    </row>
    <row r="88" spans="1:28" x14ac:dyDescent="0.2">
      <c r="A88" s="134">
        <v>10974190</v>
      </c>
      <c r="B88" s="135">
        <v>3401</v>
      </c>
      <c r="C88" s="135" t="s">
        <v>777</v>
      </c>
      <c r="D88" s="135" t="s">
        <v>341</v>
      </c>
      <c r="E88" s="136"/>
      <c r="F88" s="136"/>
      <c r="G88" s="136"/>
      <c r="H88" s="136"/>
      <c r="I88" s="136">
        <v>15000</v>
      </c>
      <c r="J88" s="137">
        <v>8000</v>
      </c>
      <c r="K88" s="136"/>
      <c r="L88" s="137">
        <v>8000</v>
      </c>
      <c r="M88" s="136">
        <v>4360</v>
      </c>
      <c r="N88" s="137">
        <v>8000</v>
      </c>
      <c r="O88" s="136">
        <v>4250</v>
      </c>
      <c r="P88" s="137">
        <v>2521.4545454545455</v>
      </c>
      <c r="Q88" s="136">
        <v>3420</v>
      </c>
      <c r="R88" s="146">
        <v>4370</v>
      </c>
      <c r="S88" s="137">
        <v>3430</v>
      </c>
      <c r="T88" s="137">
        <v>3425</v>
      </c>
      <c r="U88" s="137">
        <v>5910</v>
      </c>
      <c r="V88" s="137">
        <v>4640</v>
      </c>
      <c r="W88" s="137">
        <v>5800</v>
      </c>
      <c r="X88" s="137">
        <v>4705</v>
      </c>
      <c r="Y88" s="137">
        <v>4235</v>
      </c>
      <c r="Z88" s="152">
        <v>6700</v>
      </c>
      <c r="AA88" s="152">
        <v>10000</v>
      </c>
      <c r="AB88" s="3">
        <f t="shared" si="1"/>
        <v>3300</v>
      </c>
    </row>
    <row r="89" spans="1:28" x14ac:dyDescent="0.2">
      <c r="A89" s="132">
        <v>10974200</v>
      </c>
      <c r="B89" s="60">
        <v>3401</v>
      </c>
      <c r="C89" s="60" t="s">
        <v>778</v>
      </c>
      <c r="D89" s="60" t="s">
        <v>341</v>
      </c>
      <c r="E89" s="63"/>
      <c r="F89" s="63"/>
      <c r="G89" s="63"/>
      <c r="H89" s="63"/>
      <c r="I89" s="63">
        <v>3000</v>
      </c>
      <c r="J89" s="4">
        <v>500</v>
      </c>
      <c r="K89" s="63"/>
      <c r="L89" s="4">
        <v>500</v>
      </c>
      <c r="M89" s="63">
        <v>260</v>
      </c>
      <c r="N89" s="4">
        <v>500</v>
      </c>
      <c r="O89" s="63">
        <v>370</v>
      </c>
      <c r="P89" s="4">
        <v>2479</v>
      </c>
      <c r="Q89" s="63">
        <v>210</v>
      </c>
      <c r="R89" s="60">
        <v>370</v>
      </c>
      <c r="S89" s="4">
        <v>30</v>
      </c>
      <c r="T89" s="4">
        <v>275</v>
      </c>
      <c r="U89" s="4">
        <v>270</v>
      </c>
      <c r="V89" s="4">
        <v>170</v>
      </c>
      <c r="W89" s="4">
        <v>320</v>
      </c>
      <c r="X89" s="4">
        <v>480</v>
      </c>
      <c r="Y89" s="4">
        <v>150</v>
      </c>
      <c r="Z89" s="151">
        <v>500</v>
      </c>
      <c r="AA89" s="151">
        <v>500</v>
      </c>
      <c r="AB89" s="3">
        <f t="shared" si="1"/>
        <v>0</v>
      </c>
    </row>
    <row r="90" spans="1:28" ht="12" customHeight="1" x14ac:dyDescent="0.2">
      <c r="A90" s="134">
        <v>10974210</v>
      </c>
      <c r="B90" s="135">
        <v>3401</v>
      </c>
      <c r="C90" s="135" t="s">
        <v>779</v>
      </c>
      <c r="D90" s="135" t="s">
        <v>341</v>
      </c>
      <c r="E90" s="136"/>
      <c r="F90" s="136"/>
      <c r="G90" s="136"/>
      <c r="H90" s="136"/>
      <c r="I90" s="136">
        <v>500</v>
      </c>
      <c r="J90" s="137">
        <v>100</v>
      </c>
      <c r="K90" s="136"/>
      <c r="L90" s="137">
        <v>100</v>
      </c>
      <c r="M90" s="136">
        <v>557.9</v>
      </c>
      <c r="N90" s="137">
        <v>100</v>
      </c>
      <c r="O90" s="136">
        <v>223.98</v>
      </c>
      <c r="P90" s="137">
        <v>247.81090909090909</v>
      </c>
      <c r="Q90" s="136">
        <v>818.72</v>
      </c>
      <c r="R90" s="135">
        <v>250</v>
      </c>
      <c r="S90" s="137">
        <v>1385.54</v>
      </c>
      <c r="T90" s="137">
        <v>450</v>
      </c>
      <c r="U90" s="137">
        <v>255.34</v>
      </c>
      <c r="V90" s="137">
        <v>45.5</v>
      </c>
      <c r="W90" s="137">
        <v>44</v>
      </c>
      <c r="X90" s="137">
        <v>194</v>
      </c>
      <c r="Y90" s="137">
        <v>11411</v>
      </c>
      <c r="Z90" s="152">
        <v>500</v>
      </c>
      <c r="AA90" s="152">
        <v>4500</v>
      </c>
      <c r="AB90" s="3">
        <f t="shared" si="1"/>
        <v>4000</v>
      </c>
    </row>
    <row r="91" spans="1:28" ht="12" customHeight="1" x14ac:dyDescent="0.2">
      <c r="A91" s="132">
        <v>10974220</v>
      </c>
      <c r="B91" s="60">
        <v>3401</v>
      </c>
      <c r="C91" s="60" t="s">
        <v>780</v>
      </c>
      <c r="D91" s="60" t="s">
        <v>341</v>
      </c>
      <c r="E91" s="63"/>
      <c r="F91" s="63"/>
      <c r="G91" s="63"/>
      <c r="H91" s="63"/>
      <c r="I91" s="63">
        <v>3000</v>
      </c>
      <c r="J91" s="4">
        <v>1000</v>
      </c>
      <c r="K91" s="63">
        <v>104.04</v>
      </c>
      <c r="L91" s="4">
        <v>1000</v>
      </c>
      <c r="M91" s="63">
        <v>235</v>
      </c>
      <c r="N91" s="4">
        <v>1000</v>
      </c>
      <c r="O91" s="63">
        <v>320</v>
      </c>
      <c r="P91" s="4">
        <v>1500</v>
      </c>
      <c r="Q91" s="63">
        <v>610</v>
      </c>
      <c r="R91" s="60">
        <v>365</v>
      </c>
      <c r="S91" s="4">
        <v>775</v>
      </c>
      <c r="T91" s="4">
        <v>400</v>
      </c>
      <c r="U91" s="4">
        <v>1485</v>
      </c>
      <c r="V91" s="4">
        <v>1535</v>
      </c>
      <c r="W91" s="4">
        <v>1645</v>
      </c>
      <c r="X91" s="4">
        <v>1230</v>
      </c>
      <c r="Y91" s="4">
        <v>970</v>
      </c>
      <c r="Z91" s="151">
        <v>2000</v>
      </c>
      <c r="AA91" s="151">
        <v>1500</v>
      </c>
      <c r="AB91" s="3">
        <f t="shared" si="1"/>
        <v>-500</v>
      </c>
    </row>
    <row r="92" spans="1:28" x14ac:dyDescent="0.2">
      <c r="A92" s="134">
        <v>10974220</v>
      </c>
      <c r="B92" s="135">
        <v>3401</v>
      </c>
      <c r="C92" s="135" t="s">
        <v>180</v>
      </c>
      <c r="D92" s="135" t="s">
        <v>341</v>
      </c>
      <c r="E92" s="136">
        <v>165000</v>
      </c>
      <c r="F92" s="136">
        <v>203356.66</v>
      </c>
      <c r="G92" s="136">
        <v>165000</v>
      </c>
      <c r="H92" s="136">
        <v>175328.45</v>
      </c>
      <c r="I92" s="136">
        <v>195000</v>
      </c>
      <c r="J92" s="137">
        <v>175000</v>
      </c>
      <c r="K92" s="136">
        <v>146857.68</v>
      </c>
      <c r="L92" s="137">
        <v>190909</v>
      </c>
      <c r="M92" s="136">
        <v>67691.75</v>
      </c>
      <c r="N92" s="137">
        <v>140000</v>
      </c>
      <c r="O92" s="136">
        <v>54330.26</v>
      </c>
      <c r="P92" s="137">
        <v>112550</v>
      </c>
      <c r="Q92" s="136">
        <v>60612.72</v>
      </c>
      <c r="R92" s="146">
        <v>84500</v>
      </c>
      <c r="S92" s="137">
        <v>67836.88</v>
      </c>
      <c r="T92" s="137">
        <v>78325</v>
      </c>
      <c r="U92" s="137">
        <v>95290.7</v>
      </c>
      <c r="V92" s="137">
        <v>66678.97</v>
      </c>
      <c r="W92" s="137">
        <v>94078</v>
      </c>
      <c r="X92" s="137">
        <v>137841</v>
      </c>
      <c r="Y92" s="137">
        <v>210943</v>
      </c>
      <c r="Z92" s="152">
        <v>125000</v>
      </c>
      <c r="AA92" s="152">
        <v>320000</v>
      </c>
      <c r="AB92" s="3">
        <f t="shared" si="1"/>
        <v>195000</v>
      </c>
    </row>
    <row r="93" spans="1:28" x14ac:dyDescent="0.2">
      <c r="A93" s="132">
        <v>10974230</v>
      </c>
      <c r="B93" s="60">
        <v>3401</v>
      </c>
      <c r="C93" s="60" t="s">
        <v>781</v>
      </c>
      <c r="D93" s="60" t="s">
        <v>341</v>
      </c>
      <c r="E93" s="63"/>
      <c r="F93" s="63"/>
      <c r="G93" s="63"/>
      <c r="H93" s="63"/>
      <c r="I93" s="63">
        <v>3500</v>
      </c>
      <c r="J93" s="4">
        <v>3000</v>
      </c>
      <c r="K93" s="63"/>
      <c r="L93" s="4">
        <v>4000</v>
      </c>
      <c r="M93" s="63">
        <v>3750</v>
      </c>
      <c r="N93" s="4">
        <v>4000</v>
      </c>
      <c r="O93" s="63">
        <v>3780</v>
      </c>
      <c r="P93" s="4">
        <f>1674+2274.18181818182</f>
        <v>3948.1818181818198</v>
      </c>
      <c r="Q93" s="63">
        <v>3540</v>
      </c>
      <c r="R93" s="78">
        <v>4665</v>
      </c>
      <c r="S93" s="4">
        <v>2985</v>
      </c>
      <c r="T93" s="4">
        <v>3250</v>
      </c>
      <c r="U93" s="4">
        <v>5775</v>
      </c>
      <c r="V93" s="4">
        <v>5440</v>
      </c>
      <c r="W93" s="4">
        <v>5490</v>
      </c>
      <c r="X93" s="4">
        <v>3790</v>
      </c>
      <c r="Y93" s="4">
        <v>3996</v>
      </c>
      <c r="Z93" s="151">
        <v>4000</v>
      </c>
      <c r="AA93" s="151">
        <v>4000</v>
      </c>
      <c r="AB93" s="3">
        <f t="shared" si="1"/>
        <v>0</v>
      </c>
    </row>
    <row r="94" spans="1:28" x14ac:dyDescent="0.2">
      <c r="A94" s="134">
        <v>10974240</v>
      </c>
      <c r="B94" s="135">
        <v>3401</v>
      </c>
      <c r="C94" s="135" t="s">
        <v>782</v>
      </c>
      <c r="D94" s="135" t="s">
        <v>341</v>
      </c>
      <c r="E94" s="136"/>
      <c r="F94" s="136"/>
      <c r="G94" s="136"/>
      <c r="H94" s="136"/>
      <c r="I94" s="136">
        <v>4500</v>
      </c>
      <c r="J94" s="137">
        <v>4000</v>
      </c>
      <c r="K94" s="136"/>
      <c r="L94" s="137">
        <v>4000</v>
      </c>
      <c r="M94" s="136">
        <v>4365</v>
      </c>
      <c r="N94" s="137">
        <v>4000</v>
      </c>
      <c r="O94" s="136">
        <v>4735</v>
      </c>
      <c r="P94" s="137">
        <f>1674+2378.18181818182</f>
        <v>4052.1818181818198</v>
      </c>
      <c r="Q94" s="136">
        <v>4345</v>
      </c>
      <c r="R94" s="146">
        <v>4000</v>
      </c>
      <c r="S94" s="137">
        <v>5585</v>
      </c>
      <c r="T94" s="137">
        <v>3800</v>
      </c>
      <c r="U94" s="137">
        <v>8670</v>
      </c>
      <c r="V94" s="137">
        <v>9105</v>
      </c>
      <c r="W94" s="137">
        <v>12195</v>
      </c>
      <c r="X94" s="137">
        <v>8255</v>
      </c>
      <c r="Y94" s="137">
        <v>8305</v>
      </c>
      <c r="Z94" s="152">
        <v>8250</v>
      </c>
      <c r="AA94" s="152">
        <v>8250</v>
      </c>
      <c r="AB94" s="3">
        <f t="shared" si="1"/>
        <v>0</v>
      </c>
    </row>
    <row r="95" spans="1:28" x14ac:dyDescent="0.2">
      <c r="A95" s="132">
        <v>10974240</v>
      </c>
      <c r="B95" s="60">
        <v>3401</v>
      </c>
      <c r="C95" s="60" t="s">
        <v>783</v>
      </c>
      <c r="D95" s="60" t="s">
        <v>341</v>
      </c>
      <c r="E95" s="63"/>
      <c r="F95" s="63"/>
      <c r="G95" s="63"/>
      <c r="H95" s="63"/>
      <c r="I95" s="63">
        <v>35000</v>
      </c>
      <c r="J95" s="4">
        <v>20000</v>
      </c>
      <c r="K95" s="63"/>
      <c r="L95" s="4">
        <v>20000</v>
      </c>
      <c r="M95" s="63">
        <v>21820</v>
      </c>
      <c r="N95" s="4">
        <v>15000</v>
      </c>
      <c r="O95" s="63">
        <v>21180</v>
      </c>
      <c r="P95" s="4">
        <v>22000</v>
      </c>
      <c r="Q95" s="63">
        <v>26128.080000000002</v>
      </c>
      <c r="R95" s="78">
        <v>22000</v>
      </c>
      <c r="S95" s="4">
        <v>20970</v>
      </c>
      <c r="T95" s="4">
        <v>19900</v>
      </c>
      <c r="U95" s="4">
        <v>34225</v>
      </c>
      <c r="V95" s="4">
        <v>33480</v>
      </c>
      <c r="W95" s="4">
        <v>30045</v>
      </c>
      <c r="X95" s="4">
        <v>25995</v>
      </c>
      <c r="Y95" s="4">
        <v>18595</v>
      </c>
      <c r="Z95" s="151">
        <v>30000</v>
      </c>
      <c r="AA95" s="151">
        <v>20000</v>
      </c>
      <c r="AB95" s="3">
        <f t="shared" si="1"/>
        <v>-10000</v>
      </c>
    </row>
    <row r="96" spans="1:28" ht="13.5" thickBot="1" x14ac:dyDescent="0.25">
      <c r="A96" s="138">
        <v>10974990</v>
      </c>
      <c r="B96" s="139">
        <v>3401</v>
      </c>
      <c r="C96" s="139" t="s">
        <v>1587</v>
      </c>
      <c r="D96" s="139" t="s">
        <v>341</v>
      </c>
      <c r="E96" s="140">
        <v>0</v>
      </c>
      <c r="F96" s="140">
        <v>0</v>
      </c>
      <c r="G96" s="140">
        <v>0</v>
      </c>
      <c r="H96" s="140">
        <v>0</v>
      </c>
      <c r="I96" s="140">
        <v>0</v>
      </c>
      <c r="J96" s="141">
        <v>0</v>
      </c>
      <c r="K96" s="140"/>
      <c r="L96" s="141">
        <v>0</v>
      </c>
      <c r="M96" s="140">
        <v>0</v>
      </c>
      <c r="N96" s="141">
        <v>0</v>
      </c>
      <c r="O96" s="140">
        <v>2179.98</v>
      </c>
      <c r="P96" s="141">
        <v>0</v>
      </c>
      <c r="Q96" s="140">
        <v>0</v>
      </c>
      <c r="R96" s="141">
        <v>0</v>
      </c>
      <c r="S96" s="141">
        <v>177.75</v>
      </c>
      <c r="T96" s="141">
        <v>0</v>
      </c>
      <c r="U96" s="141">
        <v>420</v>
      </c>
      <c r="V96" s="141">
        <v>297</v>
      </c>
      <c r="W96" s="141">
        <v>175</v>
      </c>
      <c r="X96" s="141">
        <f>1501+165</f>
        <v>1666</v>
      </c>
      <c r="Y96" s="141">
        <v>330</v>
      </c>
      <c r="Z96" s="159">
        <v>1500</v>
      </c>
      <c r="AA96" s="159">
        <v>500</v>
      </c>
      <c r="AB96" s="3">
        <f t="shared" si="1"/>
        <v>-1000</v>
      </c>
    </row>
    <row r="97" spans="1:28" hidden="1" x14ac:dyDescent="0.2">
      <c r="A97" s="132">
        <v>11178210</v>
      </c>
      <c r="B97" s="60">
        <v>3401</v>
      </c>
      <c r="C97" s="60" t="s">
        <v>637</v>
      </c>
      <c r="D97" s="60" t="s">
        <v>1204</v>
      </c>
      <c r="E97" s="63">
        <v>10000</v>
      </c>
      <c r="F97" s="63">
        <v>9564.17</v>
      </c>
      <c r="G97" s="63">
        <v>10000</v>
      </c>
      <c r="H97" s="63">
        <v>7253.37</v>
      </c>
      <c r="I97" s="63">
        <v>10000</v>
      </c>
      <c r="J97" s="4">
        <v>10000</v>
      </c>
      <c r="K97" s="63">
        <v>7527.18</v>
      </c>
      <c r="L97" s="4">
        <v>10000</v>
      </c>
      <c r="M97" s="63">
        <v>7500</v>
      </c>
      <c r="N97" s="4">
        <v>7500</v>
      </c>
      <c r="O97" s="63"/>
      <c r="P97" s="4">
        <v>0</v>
      </c>
      <c r="Q97" s="63">
        <v>0</v>
      </c>
      <c r="R97" s="4">
        <v>0</v>
      </c>
      <c r="S97" s="4">
        <v>0</v>
      </c>
      <c r="T97" s="4">
        <v>0</v>
      </c>
      <c r="U97" s="4">
        <v>0</v>
      </c>
      <c r="V97" s="4">
        <v>0</v>
      </c>
      <c r="W97" s="4">
        <v>0</v>
      </c>
      <c r="X97" s="4">
        <v>0</v>
      </c>
      <c r="Y97" s="4">
        <v>0</v>
      </c>
      <c r="Z97" s="151"/>
      <c r="AA97" s="151"/>
      <c r="AB97" s="3">
        <f t="shared" si="1"/>
        <v>0</v>
      </c>
    </row>
    <row r="98" spans="1:28" hidden="1" x14ac:dyDescent="0.2">
      <c r="A98" s="132">
        <v>11372290</v>
      </c>
      <c r="B98" s="60">
        <v>3359</v>
      </c>
      <c r="C98" s="60" t="s">
        <v>390</v>
      </c>
      <c r="D98" s="60" t="s">
        <v>571</v>
      </c>
      <c r="E98" s="63">
        <v>1000</v>
      </c>
      <c r="F98" s="63">
        <v>1237.5899999999999</v>
      </c>
      <c r="G98" s="63">
        <v>1000</v>
      </c>
      <c r="H98" s="63">
        <v>1319.95</v>
      </c>
      <c r="I98" s="63">
        <v>1000</v>
      </c>
      <c r="J98" s="4">
        <v>1100</v>
      </c>
      <c r="K98" s="63">
        <v>6260.79</v>
      </c>
      <c r="L98" s="4">
        <v>800</v>
      </c>
      <c r="M98" s="63">
        <v>321.01</v>
      </c>
      <c r="N98" s="4">
        <f>-4313+5153.03225806452</f>
        <v>840.03225806451974</v>
      </c>
      <c r="O98" s="63">
        <v>746.84</v>
      </c>
      <c r="P98" s="4">
        <v>3044.5134545454548</v>
      </c>
      <c r="Q98" s="63">
        <v>512.5</v>
      </c>
      <c r="R98" s="4">
        <v>500</v>
      </c>
      <c r="S98" s="4">
        <v>697.64</v>
      </c>
      <c r="T98" s="4">
        <v>500</v>
      </c>
      <c r="U98" s="4">
        <v>0</v>
      </c>
      <c r="V98" s="4">
        <v>0</v>
      </c>
      <c r="W98" s="4">
        <v>0</v>
      </c>
      <c r="X98" s="4">
        <v>0</v>
      </c>
      <c r="Y98" s="4">
        <v>0</v>
      </c>
      <c r="Z98" s="151"/>
      <c r="AA98" s="151"/>
      <c r="AB98" s="3">
        <f t="shared" si="1"/>
        <v>0</v>
      </c>
    </row>
    <row r="99" spans="1:28" hidden="1" x14ac:dyDescent="0.2">
      <c r="A99" s="132">
        <v>11374380</v>
      </c>
      <c r="B99" s="60">
        <v>3401</v>
      </c>
      <c r="C99" s="60" t="s">
        <v>1563</v>
      </c>
      <c r="D99" s="60" t="s">
        <v>571</v>
      </c>
      <c r="E99" s="63">
        <v>24000</v>
      </c>
      <c r="F99" s="63">
        <v>52745.5</v>
      </c>
      <c r="G99" s="63">
        <v>24000</v>
      </c>
      <c r="H99" s="63">
        <v>21314.5</v>
      </c>
      <c r="I99" s="63">
        <v>24000</v>
      </c>
      <c r="J99" s="4">
        <v>25000</v>
      </c>
      <c r="K99" s="63">
        <v>12897.3</v>
      </c>
      <c r="L99" s="4">
        <v>19000</v>
      </c>
      <c r="M99" s="63">
        <f>-155+21733.84</f>
        <v>21578.84</v>
      </c>
      <c r="N99" s="4">
        <v>22400</v>
      </c>
      <c r="O99" s="63">
        <v>16275.5</v>
      </c>
      <c r="P99" s="4">
        <f>-1500+20871.9629090909</f>
        <v>19371.9629090909</v>
      </c>
      <c r="Q99" s="63">
        <v>7267.85</v>
      </c>
      <c r="R99" s="4">
        <v>16000</v>
      </c>
      <c r="S99" s="4">
        <v>6355</v>
      </c>
      <c r="T99" s="4">
        <v>8500</v>
      </c>
      <c r="U99" s="4">
        <v>4745</v>
      </c>
      <c r="V99" s="4">
        <v>0</v>
      </c>
      <c r="W99" s="4">
        <v>0</v>
      </c>
      <c r="X99" s="4">
        <v>0</v>
      </c>
      <c r="Y99" s="4">
        <v>0</v>
      </c>
      <c r="Z99" s="151"/>
      <c r="AA99" s="151"/>
      <c r="AB99" s="3">
        <f t="shared" si="1"/>
        <v>0</v>
      </c>
    </row>
    <row r="100" spans="1:28" x14ac:dyDescent="0.2">
      <c r="A100" s="134">
        <v>11374990</v>
      </c>
      <c r="B100" s="135">
        <v>3401</v>
      </c>
      <c r="C100" s="135" t="s">
        <v>1060</v>
      </c>
      <c r="D100" s="135" t="s">
        <v>571</v>
      </c>
      <c r="E100" s="136">
        <v>21000</v>
      </c>
      <c r="F100" s="136">
        <v>16141</v>
      </c>
      <c r="G100" s="136">
        <v>21000</v>
      </c>
      <c r="H100" s="136">
        <v>13258</v>
      </c>
      <c r="I100" s="136">
        <v>21000</v>
      </c>
      <c r="J100" s="137">
        <v>15000</v>
      </c>
      <c r="K100" s="136">
        <f>3976.45+2345</f>
        <v>6321.45</v>
      </c>
      <c r="L100" s="137">
        <v>3500</v>
      </c>
      <c r="M100" s="136">
        <f>-155+4935</f>
        <v>4780</v>
      </c>
      <c r="N100" s="137">
        <v>6072.5951612903227</v>
      </c>
      <c r="O100" s="136">
        <v>4648.5</v>
      </c>
      <c r="P100" s="137">
        <f>3310+3355.09909090909</f>
        <v>6665.0990909090906</v>
      </c>
      <c r="Q100" s="136">
        <v>4940</v>
      </c>
      <c r="R100" s="137">
        <v>5800</v>
      </c>
      <c r="S100" s="137">
        <v>4685</v>
      </c>
      <c r="T100" s="137">
        <v>3500</v>
      </c>
      <c r="U100" s="137">
        <v>395</v>
      </c>
      <c r="V100" s="137">
        <v>4665</v>
      </c>
      <c r="W100" s="137">
        <v>2486</v>
      </c>
      <c r="X100" s="137">
        <f>30+2773</f>
        <v>2803</v>
      </c>
      <c r="Y100" s="137">
        <f>5148+7105+2075</f>
        <v>14328</v>
      </c>
      <c r="Z100" s="152">
        <v>3000</v>
      </c>
      <c r="AA100" s="152">
        <v>10000</v>
      </c>
      <c r="AB100" s="3">
        <f t="shared" si="1"/>
        <v>7000</v>
      </c>
    </row>
    <row r="101" spans="1:28" ht="13.5" thickBot="1" x14ac:dyDescent="0.25">
      <c r="A101" s="142">
        <v>11378240</v>
      </c>
      <c r="B101" s="143">
        <v>3503</v>
      </c>
      <c r="C101" s="143" t="s">
        <v>1062</v>
      </c>
      <c r="D101" s="143" t="s">
        <v>571</v>
      </c>
      <c r="E101" s="144">
        <v>7500</v>
      </c>
      <c r="F101" s="144">
        <v>56</v>
      </c>
      <c r="G101" s="144">
        <v>7500</v>
      </c>
      <c r="H101" s="144">
        <v>2690</v>
      </c>
      <c r="I101" s="144">
        <v>0</v>
      </c>
      <c r="J101" s="145">
        <v>0</v>
      </c>
      <c r="K101" s="144">
        <v>1600</v>
      </c>
      <c r="L101" s="145">
        <v>0</v>
      </c>
      <c r="M101" s="144">
        <v>2506.5100000000002</v>
      </c>
      <c r="N101" s="145">
        <v>0</v>
      </c>
      <c r="O101" s="144">
        <v>231.66</v>
      </c>
      <c r="P101" s="145">
        <v>0</v>
      </c>
      <c r="Q101" s="144">
        <v>0</v>
      </c>
      <c r="R101" s="145">
        <v>0</v>
      </c>
      <c r="S101" s="145">
        <v>160</v>
      </c>
      <c r="T101" s="145">
        <v>0</v>
      </c>
      <c r="U101" s="145">
        <v>415.8</v>
      </c>
      <c r="V101" s="145">
        <v>6247.46</v>
      </c>
      <c r="W101" s="145">
        <v>524</v>
      </c>
      <c r="X101" s="145">
        <v>5280</v>
      </c>
      <c r="Y101" s="145">
        <f>1425+1375</f>
        <v>2800</v>
      </c>
      <c r="Z101" s="160"/>
      <c r="AA101" s="160"/>
      <c r="AB101" s="3">
        <f t="shared" si="1"/>
        <v>0</v>
      </c>
    </row>
    <row r="102" spans="1:28" s="32" customFormat="1" hidden="1" x14ac:dyDescent="0.2">
      <c r="A102" s="132">
        <v>11378290</v>
      </c>
      <c r="B102" s="60">
        <v>3503</v>
      </c>
      <c r="C102" s="60" t="s">
        <v>124</v>
      </c>
      <c r="D102" s="60" t="s">
        <v>571</v>
      </c>
      <c r="E102" s="63">
        <v>0</v>
      </c>
      <c r="F102" s="63">
        <v>0</v>
      </c>
      <c r="G102" s="63">
        <v>0</v>
      </c>
      <c r="H102" s="63">
        <v>238.5</v>
      </c>
      <c r="I102" s="63">
        <v>0</v>
      </c>
      <c r="J102" s="4">
        <v>0</v>
      </c>
      <c r="K102" s="63"/>
      <c r="L102" s="4">
        <v>0</v>
      </c>
      <c r="M102" s="63"/>
      <c r="N102" s="4">
        <v>0</v>
      </c>
      <c r="O102" s="63"/>
      <c r="P102" s="4">
        <v>0</v>
      </c>
      <c r="Q102" s="63">
        <v>0</v>
      </c>
      <c r="R102" s="4">
        <v>0</v>
      </c>
      <c r="S102" s="4"/>
      <c r="T102" s="4">
        <v>0</v>
      </c>
      <c r="U102" s="4">
        <v>0</v>
      </c>
      <c r="V102" s="4"/>
      <c r="W102" s="4"/>
      <c r="X102" s="74">
        <v>0</v>
      </c>
      <c r="Y102" s="74">
        <v>0</v>
      </c>
      <c r="Z102" s="185"/>
      <c r="AA102" s="185"/>
      <c r="AB102" s="3">
        <f t="shared" si="1"/>
        <v>0</v>
      </c>
    </row>
    <row r="103" spans="1:28" hidden="1" x14ac:dyDescent="0.2">
      <c r="A103" s="132">
        <v>381574200</v>
      </c>
      <c r="B103" s="60">
        <v>3401</v>
      </c>
      <c r="C103" s="60" t="s">
        <v>181</v>
      </c>
      <c r="D103" s="60" t="s">
        <v>670</v>
      </c>
      <c r="E103" s="63">
        <v>17000</v>
      </c>
      <c r="F103" s="63">
        <v>16226.79</v>
      </c>
      <c r="G103" s="63">
        <v>17000</v>
      </c>
      <c r="H103" s="63">
        <v>17426.330000000002</v>
      </c>
      <c r="I103" s="184">
        <v>36100</v>
      </c>
      <c r="J103" s="4">
        <v>0</v>
      </c>
      <c r="K103" s="63"/>
      <c r="L103" s="4">
        <v>0</v>
      </c>
      <c r="M103" s="63">
        <v>0</v>
      </c>
      <c r="N103" s="4">
        <v>0</v>
      </c>
      <c r="O103" s="63"/>
      <c r="P103" s="4">
        <v>0</v>
      </c>
      <c r="Q103" s="63">
        <v>0</v>
      </c>
      <c r="R103" s="4">
        <v>0</v>
      </c>
      <c r="S103" s="4">
        <v>0</v>
      </c>
      <c r="T103" s="4">
        <v>0</v>
      </c>
      <c r="U103" s="4">
        <v>0</v>
      </c>
      <c r="V103" s="4"/>
      <c r="W103" s="4"/>
      <c r="X103" s="4">
        <v>0</v>
      </c>
      <c r="Y103" s="4">
        <v>0</v>
      </c>
      <c r="Z103" s="151"/>
      <c r="AA103" s="151"/>
      <c r="AB103" s="3">
        <f t="shared" si="1"/>
        <v>0</v>
      </c>
    </row>
    <row r="104" spans="1:28" hidden="1" x14ac:dyDescent="0.2">
      <c r="A104" s="134">
        <v>381574250</v>
      </c>
      <c r="B104" s="135">
        <v>3401</v>
      </c>
      <c r="C104" s="135" t="s">
        <v>500</v>
      </c>
      <c r="D104" s="135" t="s">
        <v>670</v>
      </c>
      <c r="E104" s="136">
        <v>4000</v>
      </c>
      <c r="F104" s="136">
        <v>6170.6</v>
      </c>
      <c r="G104" s="136">
        <v>4000</v>
      </c>
      <c r="H104" s="136">
        <v>5997.2</v>
      </c>
      <c r="I104" s="183">
        <v>4000</v>
      </c>
      <c r="J104" s="137">
        <v>0</v>
      </c>
      <c r="K104" s="136"/>
      <c r="L104" s="137">
        <v>0</v>
      </c>
      <c r="M104" s="136">
        <v>0</v>
      </c>
      <c r="N104" s="137">
        <v>0</v>
      </c>
      <c r="O104" s="136"/>
      <c r="P104" s="137">
        <v>0</v>
      </c>
      <c r="Q104" s="136">
        <v>0</v>
      </c>
      <c r="R104" s="137">
        <v>0</v>
      </c>
      <c r="S104" s="137">
        <v>0</v>
      </c>
      <c r="T104" s="137">
        <v>0</v>
      </c>
      <c r="U104" s="137">
        <v>0</v>
      </c>
      <c r="V104" s="137"/>
      <c r="W104" s="137"/>
      <c r="X104" s="4">
        <v>0</v>
      </c>
      <c r="Y104" s="4">
        <v>0</v>
      </c>
      <c r="Z104" s="151"/>
      <c r="AA104" s="151"/>
      <c r="AB104" s="3">
        <f t="shared" si="1"/>
        <v>0</v>
      </c>
    </row>
    <row r="105" spans="1:28" hidden="1" x14ac:dyDescent="0.2">
      <c r="A105" s="132">
        <v>381574290</v>
      </c>
      <c r="B105" s="60">
        <v>3401</v>
      </c>
      <c r="C105" s="60" t="s">
        <v>527</v>
      </c>
      <c r="D105" s="60" t="s">
        <v>670</v>
      </c>
      <c r="E105" s="63">
        <v>1400</v>
      </c>
      <c r="F105" s="63">
        <v>1439.38</v>
      </c>
      <c r="G105" s="63">
        <v>1400</v>
      </c>
      <c r="H105" s="63">
        <v>2438.69</v>
      </c>
      <c r="I105" s="184">
        <v>1400</v>
      </c>
      <c r="J105" s="4">
        <v>0</v>
      </c>
      <c r="K105" s="63"/>
      <c r="L105" s="4">
        <v>0</v>
      </c>
      <c r="M105" s="63">
        <v>0</v>
      </c>
      <c r="N105" s="4">
        <v>0</v>
      </c>
      <c r="O105" s="63"/>
      <c r="P105" s="4">
        <v>0</v>
      </c>
      <c r="Q105" s="63">
        <v>0</v>
      </c>
      <c r="R105" s="4">
        <v>0</v>
      </c>
      <c r="S105" s="4">
        <v>0</v>
      </c>
      <c r="T105" s="4">
        <v>0</v>
      </c>
      <c r="U105" s="4">
        <v>0</v>
      </c>
      <c r="V105" s="4"/>
      <c r="W105" s="4"/>
      <c r="X105" s="4">
        <v>0</v>
      </c>
      <c r="Y105" s="4">
        <v>0</v>
      </c>
      <c r="Z105" s="151"/>
      <c r="AA105" s="151"/>
      <c r="AB105" s="3">
        <f t="shared" si="1"/>
        <v>0</v>
      </c>
    </row>
    <row r="106" spans="1:28" hidden="1" x14ac:dyDescent="0.2">
      <c r="A106" s="132">
        <v>381578240</v>
      </c>
      <c r="B106" s="60">
        <v>3401</v>
      </c>
      <c r="C106" s="60" t="s">
        <v>1062</v>
      </c>
      <c r="D106" s="60" t="s">
        <v>670</v>
      </c>
      <c r="E106" s="63">
        <v>0</v>
      </c>
      <c r="F106" s="63">
        <v>1037.75</v>
      </c>
      <c r="G106" s="63">
        <v>0</v>
      </c>
      <c r="H106" s="63">
        <v>998.12</v>
      </c>
      <c r="I106" s="184">
        <v>0</v>
      </c>
      <c r="J106" s="4">
        <v>0</v>
      </c>
      <c r="K106" s="63"/>
      <c r="L106" s="4">
        <v>0</v>
      </c>
      <c r="M106" s="63"/>
      <c r="N106" s="4">
        <v>0</v>
      </c>
      <c r="O106" s="63"/>
      <c r="P106" s="4">
        <v>0</v>
      </c>
      <c r="Q106" s="63">
        <v>0</v>
      </c>
      <c r="R106" s="4">
        <v>0</v>
      </c>
      <c r="S106" s="4"/>
      <c r="T106" s="4">
        <v>0</v>
      </c>
      <c r="U106" s="4">
        <v>0</v>
      </c>
      <c r="V106" s="4"/>
      <c r="W106" s="4"/>
      <c r="X106" s="4">
        <v>0</v>
      </c>
      <c r="Y106" s="4">
        <v>0</v>
      </c>
      <c r="Z106" s="151"/>
      <c r="AA106" s="151"/>
      <c r="AB106" s="3">
        <f t="shared" si="1"/>
        <v>0</v>
      </c>
    </row>
    <row r="107" spans="1:28" hidden="1" x14ac:dyDescent="0.2">
      <c r="A107" s="134">
        <v>381578990</v>
      </c>
      <c r="B107" s="135">
        <v>3401</v>
      </c>
      <c r="C107" s="135" t="s">
        <v>4</v>
      </c>
      <c r="D107" s="135" t="s">
        <v>670</v>
      </c>
      <c r="E107" s="136">
        <v>6500</v>
      </c>
      <c r="F107" s="136">
        <v>11047.97</v>
      </c>
      <c r="G107" s="136">
        <v>6500</v>
      </c>
      <c r="H107" s="136">
        <v>9930.9699999999993</v>
      </c>
      <c r="I107" s="183">
        <v>6500</v>
      </c>
      <c r="J107" s="137">
        <v>3500</v>
      </c>
      <c r="K107" s="136">
        <v>0</v>
      </c>
      <c r="L107" s="137">
        <v>3500</v>
      </c>
      <c r="M107" s="136">
        <v>0</v>
      </c>
      <c r="N107" s="137">
        <v>3500</v>
      </c>
      <c r="O107" s="136"/>
      <c r="P107" s="137">
        <v>3500</v>
      </c>
      <c r="Q107" s="136">
        <v>0</v>
      </c>
      <c r="R107" s="137">
        <v>0</v>
      </c>
      <c r="S107" s="137">
        <v>0</v>
      </c>
      <c r="T107" s="137">
        <v>0</v>
      </c>
      <c r="U107" s="137">
        <v>0</v>
      </c>
      <c r="V107" s="137"/>
      <c r="W107" s="137"/>
      <c r="X107" s="4">
        <v>0</v>
      </c>
      <c r="Y107" s="4">
        <v>0</v>
      </c>
      <c r="Z107" s="151"/>
      <c r="AA107" s="151"/>
      <c r="AB107" s="3">
        <f t="shared" si="1"/>
        <v>0</v>
      </c>
    </row>
    <row r="108" spans="1:28" s="32" customFormat="1" hidden="1" x14ac:dyDescent="0.2">
      <c r="A108" s="132">
        <v>11674420</v>
      </c>
      <c r="B108" s="60">
        <v>3401</v>
      </c>
      <c r="C108" s="60" t="s">
        <v>125</v>
      </c>
      <c r="D108" s="60" t="s">
        <v>893</v>
      </c>
      <c r="E108" s="63">
        <v>6500</v>
      </c>
      <c r="F108" s="63">
        <v>6500</v>
      </c>
      <c r="G108" s="63">
        <v>6500</v>
      </c>
      <c r="H108" s="63">
        <v>6500</v>
      </c>
      <c r="I108" s="63">
        <v>0</v>
      </c>
      <c r="J108" s="4">
        <v>0</v>
      </c>
      <c r="K108" s="63"/>
      <c r="L108" s="4">
        <v>0</v>
      </c>
      <c r="M108" s="63"/>
      <c r="N108" s="4">
        <v>0</v>
      </c>
      <c r="O108" s="63"/>
      <c r="P108" s="4">
        <v>0</v>
      </c>
      <c r="Q108" s="63">
        <v>0</v>
      </c>
      <c r="R108" s="4">
        <v>0</v>
      </c>
      <c r="S108" s="4"/>
      <c r="T108" s="4">
        <v>0</v>
      </c>
      <c r="U108" s="4">
        <v>0</v>
      </c>
      <c r="V108" s="4"/>
      <c r="W108" s="4"/>
      <c r="X108" s="74">
        <v>0</v>
      </c>
      <c r="Y108" s="74">
        <v>0</v>
      </c>
      <c r="Z108" s="185"/>
      <c r="AA108" s="185"/>
      <c r="AB108" s="3">
        <f t="shared" si="1"/>
        <v>0</v>
      </c>
    </row>
    <row r="109" spans="1:28" hidden="1" x14ac:dyDescent="0.2">
      <c r="A109" s="132">
        <v>11674990</v>
      </c>
      <c r="B109" s="60">
        <v>3401</v>
      </c>
      <c r="C109" s="60" t="s">
        <v>4</v>
      </c>
      <c r="D109" s="60" t="s">
        <v>893</v>
      </c>
      <c r="E109" s="63">
        <v>0</v>
      </c>
      <c r="F109" s="63">
        <v>221540.28</v>
      </c>
      <c r="G109" s="63">
        <v>0</v>
      </c>
      <c r="H109" s="63">
        <v>0</v>
      </c>
      <c r="I109" s="63">
        <v>0</v>
      </c>
      <c r="J109" s="4">
        <v>0</v>
      </c>
      <c r="K109" s="63"/>
      <c r="L109" s="4">
        <v>0</v>
      </c>
      <c r="M109" s="63"/>
      <c r="N109" s="4">
        <v>0</v>
      </c>
      <c r="O109" s="63">
        <v>80</v>
      </c>
      <c r="P109" s="4">
        <v>0</v>
      </c>
      <c r="Q109" s="63">
        <v>0</v>
      </c>
      <c r="R109" s="4">
        <v>0</v>
      </c>
      <c r="S109" s="4">
        <v>0</v>
      </c>
      <c r="T109" s="4">
        <v>0</v>
      </c>
      <c r="U109" s="4">
        <v>0</v>
      </c>
      <c r="V109" s="4">
        <v>0</v>
      </c>
      <c r="W109" s="4">
        <v>0</v>
      </c>
      <c r="X109" s="4">
        <v>0</v>
      </c>
      <c r="Y109" s="4">
        <v>0</v>
      </c>
      <c r="Z109" s="151"/>
      <c r="AA109" s="151"/>
      <c r="AB109" s="3">
        <f t="shared" si="1"/>
        <v>0</v>
      </c>
    </row>
    <row r="110" spans="1:28" ht="13.5" thickBot="1" x14ac:dyDescent="0.25">
      <c r="A110" s="138">
        <v>11778990</v>
      </c>
      <c r="B110" s="139">
        <v>3401</v>
      </c>
      <c r="C110" s="139" t="s">
        <v>4</v>
      </c>
      <c r="D110" s="139" t="s">
        <v>635</v>
      </c>
      <c r="E110" s="140"/>
      <c r="F110" s="140">
        <v>0</v>
      </c>
      <c r="G110" s="140"/>
      <c r="H110" s="140">
        <v>3762</v>
      </c>
      <c r="I110" s="140">
        <v>0</v>
      </c>
      <c r="J110" s="141">
        <v>0</v>
      </c>
      <c r="K110" s="140"/>
      <c r="L110" s="141">
        <v>0</v>
      </c>
      <c r="M110" s="140">
        <v>0</v>
      </c>
      <c r="N110" s="141">
        <v>30000</v>
      </c>
      <c r="O110" s="140">
        <v>30000</v>
      </c>
      <c r="P110" s="141">
        <v>30000</v>
      </c>
      <c r="Q110" s="140">
        <v>16315.7</v>
      </c>
      <c r="R110" s="141">
        <v>15000</v>
      </c>
      <c r="S110" s="141">
        <v>15000</v>
      </c>
      <c r="T110" s="141">
        <v>15000</v>
      </c>
      <c r="U110" s="141">
        <v>15000</v>
      </c>
      <c r="V110" s="141">
        <v>15000</v>
      </c>
      <c r="W110" s="141">
        <v>15000</v>
      </c>
      <c r="X110" s="141">
        <v>15000</v>
      </c>
      <c r="Y110" s="141">
        <v>16800</v>
      </c>
      <c r="Z110" s="159">
        <v>17400</v>
      </c>
      <c r="AA110" s="159">
        <f>17000+51818</f>
        <v>68818</v>
      </c>
      <c r="AB110" s="3">
        <f t="shared" si="1"/>
        <v>51418</v>
      </c>
    </row>
    <row r="111" spans="1:28" x14ac:dyDescent="0.2">
      <c r="A111" s="267" t="s">
        <v>418</v>
      </c>
      <c r="B111" s="248"/>
      <c r="C111" s="248" t="s">
        <v>418</v>
      </c>
      <c r="D111" s="248" t="s">
        <v>418</v>
      </c>
      <c r="E111" s="248" t="s">
        <v>864</v>
      </c>
      <c r="F111" s="248" t="s">
        <v>864</v>
      </c>
      <c r="G111" s="248" t="s">
        <v>545</v>
      </c>
      <c r="H111" s="248" t="s">
        <v>545</v>
      </c>
      <c r="I111" s="133" t="s">
        <v>24</v>
      </c>
      <c r="J111" s="248" t="s">
        <v>903</v>
      </c>
      <c r="K111" s="133" t="s">
        <v>903</v>
      </c>
      <c r="L111" s="248" t="s">
        <v>584</v>
      </c>
      <c r="M111" s="133" t="s">
        <v>584</v>
      </c>
      <c r="N111" s="74" t="s">
        <v>402</v>
      </c>
      <c r="O111" s="133" t="s">
        <v>402</v>
      </c>
      <c r="P111" s="74" t="s">
        <v>826</v>
      </c>
      <c r="Q111" s="133" t="s">
        <v>826</v>
      </c>
      <c r="R111" s="248" t="s">
        <v>1594</v>
      </c>
      <c r="S111" s="73" t="s">
        <v>82</v>
      </c>
      <c r="T111" s="74" t="s">
        <v>82</v>
      </c>
      <c r="U111" s="279" t="s">
        <v>1785</v>
      </c>
      <c r="V111" s="279" t="s">
        <v>1918</v>
      </c>
      <c r="W111" s="279" t="s">
        <v>2003</v>
      </c>
      <c r="X111" s="279" t="s">
        <v>2084</v>
      </c>
      <c r="Y111" s="279" t="s">
        <v>2163</v>
      </c>
      <c r="Z111" s="357" t="s">
        <v>2290</v>
      </c>
      <c r="AA111" s="357" t="s">
        <v>2507</v>
      </c>
      <c r="AB111" s="3">
        <v>0</v>
      </c>
    </row>
    <row r="112" spans="1:28" ht="13.9" customHeight="1" x14ac:dyDescent="0.2">
      <c r="A112" s="268" t="s">
        <v>837</v>
      </c>
      <c r="B112" s="249"/>
      <c r="C112" s="249" t="s">
        <v>279</v>
      </c>
      <c r="D112" s="249" t="s">
        <v>1444</v>
      </c>
      <c r="E112" s="249" t="s">
        <v>251</v>
      </c>
      <c r="F112" s="249" t="s">
        <v>250</v>
      </c>
      <c r="G112" s="249" t="s">
        <v>251</v>
      </c>
      <c r="H112" s="249" t="s">
        <v>250</v>
      </c>
      <c r="I112" s="250" t="s">
        <v>251</v>
      </c>
      <c r="J112" s="250" t="s">
        <v>251</v>
      </c>
      <c r="K112" s="250" t="s">
        <v>250</v>
      </c>
      <c r="L112" s="250" t="s">
        <v>251</v>
      </c>
      <c r="M112" s="250" t="s">
        <v>250</v>
      </c>
      <c r="N112" s="250" t="s">
        <v>251</v>
      </c>
      <c r="O112" s="250" t="s">
        <v>250</v>
      </c>
      <c r="P112" s="250" t="s">
        <v>251</v>
      </c>
      <c r="Q112" s="250" t="s">
        <v>250</v>
      </c>
      <c r="R112" s="250" t="s">
        <v>251</v>
      </c>
      <c r="S112" s="251" t="s">
        <v>250</v>
      </c>
      <c r="T112" s="252" t="s">
        <v>251</v>
      </c>
      <c r="U112" s="251" t="s">
        <v>250</v>
      </c>
      <c r="V112" s="251" t="s">
        <v>250</v>
      </c>
      <c r="W112" s="251" t="s">
        <v>250</v>
      </c>
      <c r="X112" s="251" t="s">
        <v>250</v>
      </c>
      <c r="Y112" s="251" t="s">
        <v>250</v>
      </c>
      <c r="Z112" s="358" t="s">
        <v>251</v>
      </c>
      <c r="AA112" s="358" t="s">
        <v>251</v>
      </c>
      <c r="AB112" s="3">
        <v>0</v>
      </c>
    </row>
    <row r="113" spans="1:28" ht="13.9" customHeight="1" x14ac:dyDescent="0.2">
      <c r="A113" s="268"/>
      <c r="B113" s="249"/>
      <c r="C113" s="249"/>
      <c r="D113" s="249"/>
      <c r="E113" s="249"/>
      <c r="F113" s="249"/>
      <c r="G113" s="249"/>
      <c r="H113" s="249"/>
      <c r="I113" s="250"/>
      <c r="J113" s="250"/>
      <c r="K113" s="250"/>
      <c r="L113" s="250"/>
      <c r="M113" s="250"/>
      <c r="N113" s="74"/>
      <c r="O113" s="133"/>
      <c r="P113" s="133"/>
      <c r="Q113" s="133"/>
      <c r="R113" s="248"/>
      <c r="S113" s="74"/>
      <c r="T113" s="74"/>
      <c r="U113" s="74"/>
      <c r="V113" s="74"/>
      <c r="W113" s="74"/>
      <c r="X113" s="74"/>
      <c r="Y113" s="74"/>
      <c r="Z113" s="185"/>
      <c r="AA113" s="185"/>
      <c r="AB113" s="3">
        <f t="shared" si="1"/>
        <v>0</v>
      </c>
    </row>
    <row r="114" spans="1:28" ht="13.9" customHeight="1" x14ac:dyDescent="0.2">
      <c r="A114" s="569" t="s">
        <v>1903</v>
      </c>
      <c r="B114" s="570"/>
      <c r="C114" s="570"/>
      <c r="D114" s="570"/>
      <c r="E114" s="570"/>
      <c r="F114" s="570"/>
      <c r="G114" s="570"/>
      <c r="H114" s="570"/>
      <c r="I114" s="570"/>
      <c r="J114" s="570"/>
      <c r="K114" s="570"/>
      <c r="L114" s="570"/>
      <c r="M114" s="570"/>
      <c r="N114" s="570"/>
      <c r="O114" s="253"/>
      <c r="P114" s="253"/>
      <c r="Q114" s="253"/>
      <c r="R114" s="248"/>
      <c r="S114" s="74"/>
      <c r="T114" s="74"/>
      <c r="U114" s="74"/>
      <c r="V114" s="74"/>
      <c r="W114" s="74"/>
      <c r="X114" s="74"/>
      <c r="Y114" s="74"/>
      <c r="Z114" s="185"/>
      <c r="AA114" s="185"/>
      <c r="AB114" s="3">
        <f t="shared" si="1"/>
        <v>0</v>
      </c>
    </row>
    <row r="115" spans="1:28" ht="13.9" customHeight="1" thickBot="1" x14ac:dyDescent="0.25">
      <c r="A115" s="132"/>
      <c r="B115" s="60"/>
      <c r="C115" s="60"/>
      <c r="D115" s="60"/>
      <c r="E115" s="63"/>
      <c r="F115" s="63"/>
      <c r="G115" s="63"/>
      <c r="H115" s="63"/>
      <c r="I115" s="63"/>
      <c r="J115" s="4"/>
      <c r="K115" s="63"/>
      <c r="L115" s="4"/>
      <c r="M115" s="63"/>
      <c r="N115" s="4"/>
      <c r="O115" s="63"/>
      <c r="P115" s="4"/>
      <c r="Q115" s="63"/>
      <c r="R115" s="4"/>
      <c r="S115" s="4"/>
      <c r="T115" s="4"/>
      <c r="U115" s="4"/>
      <c r="V115" s="4"/>
      <c r="W115" s="4"/>
      <c r="X115" s="4"/>
      <c r="Y115" s="4"/>
      <c r="Z115" s="151"/>
      <c r="AA115" s="151"/>
      <c r="AB115" s="3">
        <f t="shared" si="1"/>
        <v>0</v>
      </c>
    </row>
    <row r="116" spans="1:28" x14ac:dyDescent="0.2">
      <c r="A116" s="269">
        <v>12172500</v>
      </c>
      <c r="B116" s="270">
        <v>3311</v>
      </c>
      <c r="C116" s="270" t="s">
        <v>1409</v>
      </c>
      <c r="D116" s="270" t="s">
        <v>226</v>
      </c>
      <c r="E116" s="271">
        <v>0</v>
      </c>
      <c r="F116" s="271">
        <v>0</v>
      </c>
      <c r="G116" s="271">
        <v>0</v>
      </c>
      <c r="H116" s="271">
        <v>676269.81</v>
      </c>
      <c r="I116" s="271">
        <v>0</v>
      </c>
      <c r="J116" s="272">
        <v>0</v>
      </c>
      <c r="K116" s="271">
        <v>538.25</v>
      </c>
      <c r="L116" s="272">
        <v>0</v>
      </c>
      <c r="M116" s="271">
        <v>0</v>
      </c>
      <c r="N116" s="272">
        <v>0</v>
      </c>
      <c r="O116" s="271">
        <v>482198</v>
      </c>
      <c r="P116" s="272">
        <v>0</v>
      </c>
      <c r="Q116" s="271">
        <v>1011.1</v>
      </c>
      <c r="R116" s="272">
        <v>0</v>
      </c>
      <c r="S116" s="272">
        <f>23+4027.7+12288.96</f>
        <v>16339.66</v>
      </c>
      <c r="T116" s="272">
        <v>0</v>
      </c>
      <c r="U116" s="272">
        <v>2005</v>
      </c>
      <c r="V116" s="272">
        <v>4060.25</v>
      </c>
      <c r="W116" s="272">
        <v>4802</v>
      </c>
      <c r="X116" s="272">
        <v>11987</v>
      </c>
      <c r="Y116" s="272">
        <v>4400</v>
      </c>
      <c r="Z116" s="273">
        <v>0</v>
      </c>
      <c r="AA116" s="273">
        <v>0</v>
      </c>
      <c r="AB116" s="3">
        <f t="shared" si="1"/>
        <v>0</v>
      </c>
    </row>
    <row r="117" spans="1:28" x14ac:dyDescent="0.2">
      <c r="A117" s="134">
        <v>12173020</v>
      </c>
      <c r="B117" s="135">
        <v>3290</v>
      </c>
      <c r="C117" s="135" t="s">
        <v>126</v>
      </c>
      <c r="D117" s="135" t="s">
        <v>226</v>
      </c>
      <c r="E117" s="136">
        <v>25000</v>
      </c>
      <c r="F117" s="136">
        <v>27038.55</v>
      </c>
      <c r="G117" s="136">
        <v>25000</v>
      </c>
      <c r="H117" s="136">
        <v>21347.56</v>
      </c>
      <c r="I117" s="136">
        <v>25000</v>
      </c>
      <c r="J117" s="137">
        <v>25000</v>
      </c>
      <c r="K117" s="136">
        <v>11936.6</v>
      </c>
      <c r="L117" s="137">
        <v>25000</v>
      </c>
      <c r="M117" s="136">
        <v>13210</v>
      </c>
      <c r="N117" s="137">
        <v>20000</v>
      </c>
      <c r="O117" s="136">
        <v>6203.22</v>
      </c>
      <c r="P117" s="137">
        <v>24593.876</v>
      </c>
      <c r="Q117" s="136">
        <v>28793.01</v>
      </c>
      <c r="R117" s="137">
        <v>24593.876</v>
      </c>
      <c r="S117" s="137">
        <v>20861.39</v>
      </c>
      <c r="T117" s="137">
        <v>21250</v>
      </c>
      <c r="U117" s="137">
        <v>58333.83</v>
      </c>
      <c r="V117" s="137">
        <v>18579.3</v>
      </c>
      <c r="W117" s="137">
        <v>29917</v>
      </c>
      <c r="X117" s="137">
        <v>61468</v>
      </c>
      <c r="Y117" s="137">
        <v>43156</v>
      </c>
      <c r="Z117" s="152">
        <v>40000</v>
      </c>
      <c r="AA117" s="152">
        <v>40000</v>
      </c>
      <c r="AB117" s="3">
        <f t="shared" si="1"/>
        <v>0</v>
      </c>
    </row>
    <row r="118" spans="1:28" x14ac:dyDescent="0.2">
      <c r="A118" s="132">
        <v>12173030</v>
      </c>
      <c r="B118" s="60">
        <v>3290</v>
      </c>
      <c r="C118" s="60" t="s">
        <v>127</v>
      </c>
      <c r="D118" s="60" t="s">
        <v>226</v>
      </c>
      <c r="E118" s="63">
        <v>3000</v>
      </c>
      <c r="F118" s="63">
        <v>2092</v>
      </c>
      <c r="G118" s="63">
        <v>3000</v>
      </c>
      <c r="H118" s="63">
        <v>1900</v>
      </c>
      <c r="I118" s="63">
        <v>3200</v>
      </c>
      <c r="J118" s="4">
        <v>2000</v>
      </c>
      <c r="K118" s="63">
        <v>1783.39</v>
      </c>
      <c r="L118" s="4">
        <v>2000</v>
      </c>
      <c r="M118" s="63">
        <v>1968</v>
      </c>
      <c r="N118" s="4">
        <v>2015.2216129032261</v>
      </c>
      <c r="O118" s="63">
        <v>2824</v>
      </c>
      <c r="P118" s="4">
        <v>1994.615818181818</v>
      </c>
      <c r="Q118" s="63">
        <v>2600</v>
      </c>
      <c r="R118" s="4">
        <v>2300</v>
      </c>
      <c r="S118" s="4">
        <v>6466.46</v>
      </c>
      <c r="T118" s="4">
        <v>2400</v>
      </c>
      <c r="U118" s="4">
        <v>10304</v>
      </c>
      <c r="V118" s="4">
        <v>6318</v>
      </c>
      <c r="W118" s="4">
        <v>1375</v>
      </c>
      <c r="X118" s="4">
        <v>3900</v>
      </c>
      <c r="Y118" s="4">
        <v>7997</v>
      </c>
      <c r="Z118" s="151">
        <v>5000</v>
      </c>
      <c r="AA118" s="151">
        <v>6000</v>
      </c>
      <c r="AB118" s="3">
        <f t="shared" si="1"/>
        <v>1000</v>
      </c>
    </row>
    <row r="119" spans="1:28" x14ac:dyDescent="0.2">
      <c r="A119" s="134">
        <v>12174290</v>
      </c>
      <c r="B119" s="135">
        <v>3401</v>
      </c>
      <c r="C119" s="135" t="s">
        <v>527</v>
      </c>
      <c r="D119" s="135" t="s">
        <v>226</v>
      </c>
      <c r="E119" s="136">
        <v>4000</v>
      </c>
      <c r="F119" s="136">
        <v>2938.65</v>
      </c>
      <c r="G119" s="136">
        <v>4000</v>
      </c>
      <c r="H119" s="136">
        <v>2933.5</v>
      </c>
      <c r="I119" s="136">
        <v>4000</v>
      </c>
      <c r="J119" s="137">
        <v>3000</v>
      </c>
      <c r="K119" s="136">
        <v>2238.5</v>
      </c>
      <c r="L119" s="137">
        <v>3000</v>
      </c>
      <c r="M119" s="136">
        <v>1860</v>
      </c>
      <c r="N119" s="137">
        <v>2415.3670967741937</v>
      </c>
      <c r="O119" s="136">
        <v>1556.23</v>
      </c>
      <c r="P119" s="137">
        <v>2173.025090909091</v>
      </c>
      <c r="Q119" s="136">
        <f>11.5+1674.69</f>
        <v>1686.19</v>
      </c>
      <c r="R119" s="137">
        <v>2173.025090909091</v>
      </c>
      <c r="S119" s="137">
        <v>1225</v>
      </c>
      <c r="T119" s="137">
        <v>1775</v>
      </c>
      <c r="U119" s="137">
        <v>1277.75</v>
      </c>
      <c r="V119" s="137">
        <v>1564.5</v>
      </c>
      <c r="W119" s="137">
        <v>257</v>
      </c>
      <c r="X119" s="137">
        <v>259</v>
      </c>
      <c r="Y119" s="137">
        <v>239</v>
      </c>
      <c r="Z119" s="152">
        <v>300</v>
      </c>
      <c r="AA119" s="152">
        <v>300</v>
      </c>
      <c r="AB119" s="3">
        <f t="shared" si="1"/>
        <v>0</v>
      </c>
    </row>
    <row r="120" spans="1:28" x14ac:dyDescent="0.2">
      <c r="A120" s="132">
        <v>12174990</v>
      </c>
      <c r="B120" s="60">
        <v>3401</v>
      </c>
      <c r="C120" s="60" t="s">
        <v>1060</v>
      </c>
      <c r="D120" s="60" t="s">
        <v>226</v>
      </c>
      <c r="E120" s="63">
        <v>100</v>
      </c>
      <c r="F120" s="63">
        <v>209</v>
      </c>
      <c r="G120" s="63">
        <v>100</v>
      </c>
      <c r="H120" s="63">
        <v>53.2</v>
      </c>
      <c r="I120" s="63">
        <v>200</v>
      </c>
      <c r="J120" s="4">
        <v>2200</v>
      </c>
      <c r="K120" s="63">
        <v>265</v>
      </c>
      <c r="L120" s="4">
        <v>2200</v>
      </c>
      <c r="M120" s="63">
        <v>500</v>
      </c>
      <c r="N120" s="4">
        <v>174.65161290322581</v>
      </c>
      <c r="O120" s="63">
        <v>775</v>
      </c>
      <c r="P120" s="4">
        <v>316.62181818181818</v>
      </c>
      <c r="Q120" s="63">
        <f>50+1050.16</f>
        <v>1100.1600000000001</v>
      </c>
      <c r="R120" s="4">
        <v>450</v>
      </c>
      <c r="S120" s="4">
        <v>0</v>
      </c>
      <c r="T120" s="4">
        <v>700</v>
      </c>
      <c r="U120" s="4">
        <v>0</v>
      </c>
      <c r="V120" s="4">
        <v>12</v>
      </c>
      <c r="W120" s="4">
        <v>0</v>
      </c>
      <c r="X120" s="4">
        <v>0</v>
      </c>
      <c r="Y120" s="4">
        <v>0</v>
      </c>
      <c r="Z120" s="151">
        <v>225</v>
      </c>
      <c r="AA120" s="151">
        <v>225</v>
      </c>
      <c r="AB120" s="3">
        <f t="shared" si="1"/>
        <v>0</v>
      </c>
    </row>
    <row r="121" spans="1:28" x14ac:dyDescent="0.2">
      <c r="A121" s="134">
        <v>12178240</v>
      </c>
      <c r="B121" s="135">
        <v>3503</v>
      </c>
      <c r="C121" s="135" t="s">
        <v>1081</v>
      </c>
      <c r="D121" s="135" t="s">
        <v>226</v>
      </c>
      <c r="E121" s="136"/>
      <c r="F121" s="136"/>
      <c r="G121" s="136"/>
      <c r="H121" s="136"/>
      <c r="I121" s="136"/>
      <c r="J121" s="137"/>
      <c r="K121" s="136"/>
      <c r="L121" s="137"/>
      <c r="M121" s="136">
        <v>154.56</v>
      </c>
      <c r="N121" s="137">
        <v>0</v>
      </c>
      <c r="O121" s="136">
        <v>264</v>
      </c>
      <c r="P121" s="137">
        <v>0</v>
      </c>
      <c r="Q121" s="136"/>
      <c r="R121" s="137">
        <v>0</v>
      </c>
      <c r="S121" s="137">
        <v>1349.63</v>
      </c>
      <c r="T121" s="137">
        <v>100</v>
      </c>
      <c r="U121" s="137">
        <v>275.16000000000003</v>
      </c>
      <c r="V121" s="137">
        <v>0</v>
      </c>
      <c r="W121" s="137">
        <v>0</v>
      </c>
      <c r="X121" s="137">
        <v>0</v>
      </c>
      <c r="Y121" s="137">
        <v>0</v>
      </c>
      <c r="Z121" s="152">
        <v>200</v>
      </c>
      <c r="AA121" s="152">
        <v>200</v>
      </c>
      <c r="AB121" s="3">
        <f t="shared" si="1"/>
        <v>0</v>
      </c>
    </row>
    <row r="122" spans="1:28" ht="13.9" customHeight="1" thickBot="1" x14ac:dyDescent="0.25">
      <c r="A122" s="142">
        <v>12178990</v>
      </c>
      <c r="B122" s="143">
        <v>3503</v>
      </c>
      <c r="C122" s="143" t="s">
        <v>4</v>
      </c>
      <c r="D122" s="143" t="s">
        <v>226</v>
      </c>
      <c r="E122" s="144">
        <v>1000</v>
      </c>
      <c r="F122" s="144">
        <v>1000</v>
      </c>
      <c r="G122" s="144">
        <v>1000</v>
      </c>
      <c r="H122" s="144">
        <v>163.88</v>
      </c>
      <c r="I122" s="144">
        <v>1000</v>
      </c>
      <c r="J122" s="145">
        <v>750</v>
      </c>
      <c r="K122" s="144">
        <v>550</v>
      </c>
      <c r="L122" s="145">
        <v>750</v>
      </c>
      <c r="M122" s="144">
        <f>-597.55+854</f>
        <v>256.45000000000005</v>
      </c>
      <c r="N122" s="145">
        <v>503.28354838709686</v>
      </c>
      <c r="O122" s="144">
        <v>94</v>
      </c>
      <c r="P122" s="145">
        <v>656.32345454545464</v>
      </c>
      <c r="Q122" s="144">
        <f>-2530.83+30</f>
        <v>-2500.83</v>
      </c>
      <c r="R122" s="145">
        <v>400</v>
      </c>
      <c r="S122" s="145">
        <v>0</v>
      </c>
      <c r="T122" s="145">
        <v>400</v>
      </c>
      <c r="U122" s="145">
        <v>0</v>
      </c>
      <c r="V122" s="145">
        <v>0</v>
      </c>
      <c r="W122" s="145">
        <v>0</v>
      </c>
      <c r="X122" s="145">
        <v>0</v>
      </c>
      <c r="Y122" s="145">
        <v>0</v>
      </c>
      <c r="Z122" s="160">
        <v>125</v>
      </c>
      <c r="AA122" s="160">
        <v>125</v>
      </c>
      <c r="AB122" s="3">
        <f t="shared" si="1"/>
        <v>0</v>
      </c>
    </row>
    <row r="123" spans="1:28" x14ac:dyDescent="0.2">
      <c r="A123" s="134">
        <v>12471010</v>
      </c>
      <c r="B123" s="135">
        <v>9998</v>
      </c>
      <c r="C123" s="135" t="s">
        <v>228</v>
      </c>
      <c r="D123" s="135" t="s">
        <v>1119</v>
      </c>
      <c r="E123" s="136">
        <v>12875413</v>
      </c>
      <c r="F123" s="136">
        <v>12884835</v>
      </c>
      <c r="G123" s="136">
        <v>12151669</v>
      </c>
      <c r="H123" s="136">
        <v>8555000</v>
      </c>
      <c r="I123" s="136"/>
      <c r="J123" s="137">
        <v>12915864</v>
      </c>
      <c r="K123" s="136">
        <v>12939310</v>
      </c>
      <c r="L123" s="137">
        <v>12904076</v>
      </c>
      <c r="M123" s="136">
        <v>12915392</v>
      </c>
      <c r="N123" s="137">
        <v>13309160</v>
      </c>
      <c r="O123" s="136">
        <v>13343617.32</v>
      </c>
      <c r="P123" s="137">
        <v>13939663</v>
      </c>
      <c r="Q123" s="136">
        <v>14369224.460000001</v>
      </c>
      <c r="R123" s="137">
        <v>14134235</v>
      </c>
      <c r="S123" s="137">
        <v>14796062.23</v>
      </c>
      <c r="T123" s="137">
        <v>14775898</v>
      </c>
      <c r="U123" s="137">
        <v>15978311.630000001</v>
      </c>
      <c r="V123" s="137">
        <v>16765557</v>
      </c>
      <c r="W123" s="137">
        <v>15557842</v>
      </c>
      <c r="X123" s="137">
        <v>17193341</v>
      </c>
      <c r="Y123" s="137">
        <v>18151515</v>
      </c>
      <c r="Z123" s="152">
        <v>18581644</v>
      </c>
      <c r="AA123" s="152">
        <f>19792160+1020-239080+411076</f>
        <v>19965176</v>
      </c>
      <c r="AB123" s="3">
        <f>+AA123-Z123</f>
        <v>1383532</v>
      </c>
    </row>
    <row r="124" spans="1:28" x14ac:dyDescent="0.2">
      <c r="A124" s="132">
        <v>12471020</v>
      </c>
      <c r="B124" s="60">
        <v>3120</v>
      </c>
      <c r="C124" s="60" t="s">
        <v>229</v>
      </c>
      <c r="D124" s="60" t="s">
        <v>1119</v>
      </c>
      <c r="E124" s="63">
        <v>0</v>
      </c>
      <c r="F124" s="63">
        <v>0</v>
      </c>
      <c r="G124" s="63">
        <v>0</v>
      </c>
      <c r="H124" s="63">
        <v>0</v>
      </c>
      <c r="I124" s="63">
        <v>0</v>
      </c>
      <c r="J124" s="4">
        <v>100000</v>
      </c>
      <c r="K124" s="63">
        <v>62318.63</v>
      </c>
      <c r="L124" s="4">
        <v>50000</v>
      </c>
      <c r="M124" s="63">
        <v>517300</v>
      </c>
      <c r="N124" s="4">
        <v>30109.299096774193</v>
      </c>
      <c r="O124" s="63">
        <v>96305</v>
      </c>
      <c r="P124" s="4">
        <v>105000</v>
      </c>
      <c r="Q124" s="63">
        <v>165067</v>
      </c>
      <c r="R124" s="4">
        <v>105000</v>
      </c>
      <c r="S124" s="4">
        <v>117084</v>
      </c>
      <c r="T124" s="4">
        <v>105000</v>
      </c>
      <c r="U124" s="4">
        <v>43430</v>
      </c>
      <c r="V124" s="4">
        <v>70410</v>
      </c>
      <c r="W124" s="4">
        <v>119830</v>
      </c>
      <c r="X124" s="4">
        <v>174430</v>
      </c>
      <c r="Y124" s="4">
        <v>480727</v>
      </c>
      <c r="Z124" s="151">
        <v>175000</v>
      </c>
      <c r="AA124" s="151">
        <v>125000</v>
      </c>
      <c r="AB124" s="3">
        <f t="shared" si="1"/>
        <v>-50000</v>
      </c>
    </row>
    <row r="125" spans="1:28" x14ac:dyDescent="0.2">
      <c r="A125" s="134">
        <v>12471030</v>
      </c>
      <c r="B125" s="135">
        <v>3185</v>
      </c>
      <c r="C125" s="135" t="s">
        <v>1197</v>
      </c>
      <c r="D125" s="135" t="s">
        <v>1119</v>
      </c>
      <c r="E125" s="136">
        <v>10000</v>
      </c>
      <c r="F125" s="136">
        <v>29380</v>
      </c>
      <c r="G125" s="136">
        <v>22000</v>
      </c>
      <c r="H125" s="136">
        <v>13199.65</v>
      </c>
      <c r="I125" s="136">
        <v>15300</v>
      </c>
      <c r="J125" s="137">
        <v>15300</v>
      </c>
      <c r="K125" s="136">
        <v>13784.12</v>
      </c>
      <c r="L125" s="137">
        <v>5000</v>
      </c>
      <c r="M125" s="136">
        <v>2082.13</v>
      </c>
      <c r="N125" s="137">
        <v>2100</v>
      </c>
      <c r="O125" s="136">
        <v>0</v>
      </c>
      <c r="P125" s="137">
        <v>7931.2865454545463</v>
      </c>
      <c r="Q125" s="136">
        <v>0</v>
      </c>
      <c r="R125" s="137">
        <v>5500</v>
      </c>
      <c r="S125" s="137">
        <f>650+8741.82</f>
        <v>9391.82</v>
      </c>
      <c r="T125" s="137">
        <v>2375</v>
      </c>
      <c r="U125" s="137">
        <v>1580.93</v>
      </c>
      <c r="V125" s="137">
        <v>3578.26</v>
      </c>
      <c r="W125" s="137">
        <v>7173</v>
      </c>
      <c r="X125" s="137">
        <f>2360+374</f>
        <v>2734</v>
      </c>
      <c r="Y125" s="137">
        <v>3767</v>
      </c>
      <c r="Z125" s="152">
        <v>3000</v>
      </c>
      <c r="AA125" s="152">
        <v>3000</v>
      </c>
      <c r="AB125" s="3">
        <f t="shared" si="1"/>
        <v>0</v>
      </c>
    </row>
    <row r="126" spans="1:28" x14ac:dyDescent="0.2">
      <c r="A126" s="132">
        <v>12471120</v>
      </c>
      <c r="B126" s="60">
        <v>3186</v>
      </c>
      <c r="C126" s="60" t="s">
        <v>1198</v>
      </c>
      <c r="D126" s="60" t="s">
        <v>1119</v>
      </c>
      <c r="E126" s="63">
        <v>3900</v>
      </c>
      <c r="F126" s="63">
        <v>3012</v>
      </c>
      <c r="G126" s="63">
        <v>5664</v>
      </c>
      <c r="H126" s="63">
        <v>5512</v>
      </c>
      <c r="I126" s="63">
        <v>5512</v>
      </c>
      <c r="J126" s="4">
        <v>5332</v>
      </c>
      <c r="K126" s="63">
        <v>6184</v>
      </c>
      <c r="L126" s="4">
        <v>5979</v>
      </c>
      <c r="M126" s="63">
        <v>6088</v>
      </c>
      <c r="N126" s="4">
        <v>4908.5483870967746</v>
      </c>
      <c r="O126" s="63">
        <v>3140</v>
      </c>
      <c r="P126" s="4">
        <v>5423.2181818181816</v>
      </c>
      <c r="Q126" s="63">
        <v>8944</v>
      </c>
      <c r="R126" s="4">
        <v>4475</v>
      </c>
      <c r="S126" s="4">
        <v>3206</v>
      </c>
      <c r="T126" s="4">
        <v>6380</v>
      </c>
      <c r="U126" s="4">
        <v>7106</v>
      </c>
      <c r="V126" s="4">
        <v>7335</v>
      </c>
      <c r="W126" s="4">
        <v>7517</v>
      </c>
      <c r="X126" s="4">
        <v>7495</v>
      </c>
      <c r="Y126" s="4">
        <v>7247</v>
      </c>
      <c r="Z126" s="151">
        <v>7247</v>
      </c>
      <c r="AA126" s="151">
        <v>7500</v>
      </c>
      <c r="AB126" s="3">
        <f t="shared" si="1"/>
        <v>253</v>
      </c>
    </row>
    <row r="127" spans="1:28" x14ac:dyDescent="0.2">
      <c r="A127" s="134">
        <v>12471150</v>
      </c>
      <c r="B127" s="135">
        <v>3199</v>
      </c>
      <c r="C127" s="135" t="s">
        <v>1199</v>
      </c>
      <c r="D127" s="135" t="s">
        <v>1119</v>
      </c>
      <c r="E127" s="136">
        <v>50</v>
      </c>
      <c r="F127" s="136">
        <v>485</v>
      </c>
      <c r="G127" s="136">
        <v>600</v>
      </c>
      <c r="H127" s="136">
        <v>897.6</v>
      </c>
      <c r="I127" s="136">
        <v>50</v>
      </c>
      <c r="J127" s="137">
        <v>500</v>
      </c>
      <c r="K127" s="136">
        <v>867.5</v>
      </c>
      <c r="L127" s="137">
        <v>500</v>
      </c>
      <c r="M127" s="136">
        <v>7520.47</v>
      </c>
      <c r="N127" s="137">
        <v>829.36</v>
      </c>
      <c r="O127" s="136">
        <v>12291.63</v>
      </c>
      <c r="P127" s="137">
        <v>3749.1170909090911</v>
      </c>
      <c r="Q127" s="136">
        <v>11284.54</v>
      </c>
      <c r="R127" s="137">
        <v>6400</v>
      </c>
      <c r="S127" s="137">
        <v>330</v>
      </c>
      <c r="T127" s="137">
        <v>6500</v>
      </c>
      <c r="U127" s="137">
        <v>0</v>
      </c>
      <c r="V127" s="137">
        <v>400</v>
      </c>
      <c r="W127" s="137">
        <v>0</v>
      </c>
      <c r="X127" s="137">
        <v>0</v>
      </c>
      <c r="Y127" s="137">
        <v>0</v>
      </c>
      <c r="Z127" s="152">
        <v>100</v>
      </c>
      <c r="AA127" s="152">
        <v>100</v>
      </c>
      <c r="AB127" s="3">
        <f t="shared" si="1"/>
        <v>0</v>
      </c>
    </row>
    <row r="128" spans="1:28" x14ac:dyDescent="0.2">
      <c r="A128" s="132">
        <v>12471610</v>
      </c>
      <c r="B128" s="60">
        <v>3190</v>
      </c>
      <c r="C128" s="60" t="s">
        <v>499</v>
      </c>
      <c r="D128" s="60" t="s">
        <v>1119</v>
      </c>
      <c r="E128" s="63">
        <v>120000</v>
      </c>
      <c r="F128" s="63">
        <v>114072.77</v>
      </c>
      <c r="G128" s="63">
        <v>120000</v>
      </c>
      <c r="H128" s="63">
        <v>111933.5</v>
      </c>
      <c r="I128" s="63">
        <v>120000</v>
      </c>
      <c r="J128" s="4">
        <v>115000</v>
      </c>
      <c r="K128" s="63">
        <v>142076.13</v>
      </c>
      <c r="L128" s="4">
        <v>115000</v>
      </c>
      <c r="M128" s="63">
        <v>74652.320000000007</v>
      </c>
      <c r="N128" s="4">
        <v>117850.14903225808</v>
      </c>
      <c r="O128" s="63">
        <v>88747.36</v>
      </c>
      <c r="P128" s="4">
        <v>99000.187272727271</v>
      </c>
      <c r="Q128" s="63">
        <v>137949.37</v>
      </c>
      <c r="R128" s="4">
        <v>99000.187272727271</v>
      </c>
      <c r="S128" s="4">
        <v>110182.3</v>
      </c>
      <c r="T128" s="4">
        <v>100500</v>
      </c>
      <c r="U128" s="4">
        <v>73065.62</v>
      </c>
      <c r="V128" s="4">
        <v>86589.73</v>
      </c>
      <c r="W128" s="4">
        <v>60262</v>
      </c>
      <c r="X128" s="4">
        <v>88227</v>
      </c>
      <c r="Y128" s="4">
        <v>63589</v>
      </c>
      <c r="Z128" s="151">
        <v>85000</v>
      </c>
      <c r="AA128" s="151">
        <v>75000</v>
      </c>
      <c r="AB128" s="3">
        <f t="shared" si="1"/>
        <v>-10000</v>
      </c>
    </row>
    <row r="129" spans="1:28" x14ac:dyDescent="0.2">
      <c r="A129" s="134">
        <v>12471620</v>
      </c>
      <c r="B129" s="135">
        <v>3190</v>
      </c>
      <c r="C129" s="135" t="s">
        <v>1259</v>
      </c>
      <c r="D129" s="135" t="s">
        <v>1119</v>
      </c>
      <c r="E129" s="136">
        <v>0</v>
      </c>
      <c r="F129" s="136">
        <v>0</v>
      </c>
      <c r="G129" s="136">
        <v>0</v>
      </c>
      <c r="H129" s="136">
        <v>0</v>
      </c>
      <c r="I129" s="136">
        <v>0</v>
      </c>
      <c r="J129" s="137">
        <v>50</v>
      </c>
      <c r="K129" s="136">
        <v>567.79999999999995</v>
      </c>
      <c r="L129" s="137">
        <v>50</v>
      </c>
      <c r="M129" s="136">
        <v>9335.36</v>
      </c>
      <c r="N129" s="137">
        <v>293.05806451612904</v>
      </c>
      <c r="O129" s="136">
        <v>609.34</v>
      </c>
      <c r="P129" s="137">
        <v>4238.7898181818191</v>
      </c>
      <c r="Q129" s="136">
        <v>3026.36</v>
      </c>
      <c r="R129" s="137">
        <v>4238.7898181818191</v>
      </c>
      <c r="S129" s="137">
        <v>406.99</v>
      </c>
      <c r="T129" s="137">
        <v>3000</v>
      </c>
      <c r="U129" s="137">
        <v>3328.83</v>
      </c>
      <c r="V129" s="137">
        <v>0</v>
      </c>
      <c r="W129" s="137">
        <v>3747</v>
      </c>
      <c r="X129" s="137">
        <v>3243</v>
      </c>
      <c r="Y129" s="137">
        <v>3189</v>
      </c>
      <c r="Z129" s="152">
        <v>2000</v>
      </c>
      <c r="AA129" s="152">
        <v>2000</v>
      </c>
      <c r="AB129" s="3">
        <f t="shared" si="1"/>
        <v>0</v>
      </c>
    </row>
    <row r="130" spans="1:28" x14ac:dyDescent="0.2">
      <c r="A130" s="132">
        <v>12471630</v>
      </c>
      <c r="B130" s="60">
        <v>3190</v>
      </c>
      <c r="C130" s="60" t="s">
        <v>1260</v>
      </c>
      <c r="D130" s="60" t="s">
        <v>1119</v>
      </c>
      <c r="E130" s="63">
        <v>25</v>
      </c>
      <c r="F130" s="63">
        <v>143.6</v>
      </c>
      <c r="G130" s="63">
        <v>25</v>
      </c>
      <c r="H130" s="63">
        <v>118.1</v>
      </c>
      <c r="I130" s="63">
        <v>25</v>
      </c>
      <c r="J130" s="4">
        <v>100</v>
      </c>
      <c r="K130" s="63">
        <v>0</v>
      </c>
      <c r="L130" s="4">
        <v>50</v>
      </c>
      <c r="M130" s="63">
        <v>248.43</v>
      </c>
      <c r="N130" s="4">
        <v>28.053548387096775</v>
      </c>
      <c r="O130" s="63">
        <v>17.84</v>
      </c>
      <c r="P130" s="4">
        <v>124.21781818181816</v>
      </c>
      <c r="Q130" s="63">
        <v>0.28999999999999998</v>
      </c>
      <c r="R130" s="4">
        <v>124.21781818181816</v>
      </c>
      <c r="S130" s="4">
        <v>20.66</v>
      </c>
      <c r="T130" s="4">
        <v>100</v>
      </c>
      <c r="U130" s="4">
        <v>34.51</v>
      </c>
      <c r="V130" s="4">
        <v>209.49</v>
      </c>
      <c r="W130" s="4">
        <v>0</v>
      </c>
      <c r="X130" s="4">
        <v>17</v>
      </c>
      <c r="Y130" s="4">
        <v>12</v>
      </c>
      <c r="Z130" s="151">
        <v>50</v>
      </c>
      <c r="AA130" s="151">
        <v>50</v>
      </c>
      <c r="AB130" s="3">
        <f t="shared" si="1"/>
        <v>0</v>
      </c>
    </row>
    <row r="131" spans="1:28" x14ac:dyDescent="0.2">
      <c r="A131" s="134">
        <v>12471690</v>
      </c>
      <c r="B131" s="135">
        <v>3190</v>
      </c>
      <c r="C131" s="135" t="s">
        <v>738</v>
      </c>
      <c r="D131" s="135" t="s">
        <v>1119</v>
      </c>
      <c r="E131" s="136">
        <v>96000</v>
      </c>
      <c r="F131" s="136">
        <v>77125.05</v>
      </c>
      <c r="G131" s="136">
        <v>96000</v>
      </c>
      <c r="H131" s="136">
        <v>77728.75</v>
      </c>
      <c r="I131" s="136">
        <v>96000</v>
      </c>
      <c r="J131" s="137">
        <v>77000</v>
      </c>
      <c r="K131" s="136">
        <v>105962.63</v>
      </c>
      <c r="L131" s="137">
        <v>77000</v>
      </c>
      <c r="M131" s="136">
        <v>191032.24</v>
      </c>
      <c r="N131" s="137">
        <v>124883.50129032257</v>
      </c>
      <c r="O131" s="136">
        <v>229195.02</v>
      </c>
      <c r="P131" s="137">
        <v>153748.40545454543</v>
      </c>
      <c r="Q131" s="136">
        <v>169305.99</v>
      </c>
      <c r="R131" s="137">
        <v>180675</v>
      </c>
      <c r="S131" s="137">
        <v>203912.21</v>
      </c>
      <c r="T131" s="137">
        <v>181000</v>
      </c>
      <c r="U131" s="137">
        <v>131156.57</v>
      </c>
      <c r="V131" s="137">
        <v>81570.13</v>
      </c>
      <c r="W131" s="137">
        <v>68515</v>
      </c>
      <c r="X131" s="137">
        <v>89340</v>
      </c>
      <c r="Y131" s="137">
        <v>73576</v>
      </c>
      <c r="Z131" s="152">
        <v>115000</v>
      </c>
      <c r="AA131" s="152">
        <v>85000</v>
      </c>
      <c r="AB131" s="3">
        <f t="shared" si="1"/>
        <v>-30000</v>
      </c>
    </row>
    <row r="132" spans="1:28" x14ac:dyDescent="0.2">
      <c r="A132" s="132">
        <v>12471720</v>
      </c>
      <c r="B132" s="60">
        <v>9997</v>
      </c>
      <c r="C132" s="60" t="s">
        <v>494</v>
      </c>
      <c r="D132" s="60" t="s">
        <v>1119</v>
      </c>
      <c r="E132" s="63">
        <v>-420599</v>
      </c>
      <c r="F132" s="63">
        <v>-304803.40000000002</v>
      </c>
      <c r="G132" s="63">
        <v>-383000</v>
      </c>
      <c r="H132" s="63">
        <f>-307338.39-121140.05</f>
        <v>-428478.44</v>
      </c>
      <c r="I132" s="63">
        <v>-394829</v>
      </c>
      <c r="J132" s="4">
        <v>-395064</v>
      </c>
      <c r="K132" s="63">
        <v>-115294.17</v>
      </c>
      <c r="L132" s="4">
        <f>-382744+33319</f>
        <v>-349425</v>
      </c>
      <c r="M132" s="63">
        <v>-283854.39</v>
      </c>
      <c r="N132" s="4">
        <v>-325000</v>
      </c>
      <c r="O132" s="63">
        <v>-199297.92000000001</v>
      </c>
      <c r="P132" s="4">
        <v>-375340</v>
      </c>
      <c r="Q132" s="63">
        <v>-585188.47</v>
      </c>
      <c r="R132" s="4">
        <v>-325000</v>
      </c>
      <c r="S132" s="4">
        <v>-338353.37</v>
      </c>
      <c r="T132" s="4">
        <v>-322233</v>
      </c>
      <c r="U132" s="4">
        <v>59566.5</v>
      </c>
      <c r="V132" s="4">
        <v>-287338.12</v>
      </c>
      <c r="W132" s="4">
        <v>-21716</v>
      </c>
      <c r="X132" s="4">
        <v>-134990</v>
      </c>
      <c r="Y132" s="4">
        <v>-355336</v>
      </c>
      <c r="Z132" s="151">
        <v>-332507</v>
      </c>
      <c r="AA132" s="151">
        <v>-350000</v>
      </c>
      <c r="AB132" s="3">
        <f t="shared" si="1"/>
        <v>-17493</v>
      </c>
    </row>
    <row r="133" spans="1:28" x14ac:dyDescent="0.2">
      <c r="A133" s="134">
        <v>12473160</v>
      </c>
      <c r="B133" s="135">
        <v>3290</v>
      </c>
      <c r="C133" s="135" t="s">
        <v>495</v>
      </c>
      <c r="D133" s="135" t="s">
        <v>1119</v>
      </c>
      <c r="E133" s="136">
        <v>7700</v>
      </c>
      <c r="F133" s="136">
        <v>7381.27</v>
      </c>
      <c r="G133" s="136">
        <v>7700</v>
      </c>
      <c r="H133" s="136">
        <v>5799.07</v>
      </c>
      <c r="I133" s="136">
        <v>0</v>
      </c>
      <c r="J133" s="137">
        <v>6000</v>
      </c>
      <c r="K133" s="136">
        <v>6226.2</v>
      </c>
      <c r="L133" s="137">
        <v>6000</v>
      </c>
      <c r="M133" s="136">
        <v>8236.4699999999993</v>
      </c>
      <c r="N133" s="137">
        <v>6323.6925806451618</v>
      </c>
      <c r="O133" s="136">
        <v>6383.1</v>
      </c>
      <c r="P133" s="137">
        <v>7158.3590909090899</v>
      </c>
      <c r="Q133" s="136">
        <v>7177.05</v>
      </c>
      <c r="R133" s="137">
        <v>7158.3590909090899</v>
      </c>
      <c r="S133" s="137">
        <f>343+5296.23</f>
        <v>5639.23</v>
      </c>
      <c r="T133" s="137">
        <v>7000</v>
      </c>
      <c r="U133" s="137">
        <v>7695</v>
      </c>
      <c r="V133" s="137">
        <v>7545.05</v>
      </c>
      <c r="W133" s="137">
        <v>4944</v>
      </c>
      <c r="X133" s="137">
        <f>8754+432</f>
        <v>9186</v>
      </c>
      <c r="Y133" s="137">
        <f>8270+430</f>
        <v>8700</v>
      </c>
      <c r="Z133" s="152">
        <v>10000</v>
      </c>
      <c r="AA133" s="152">
        <v>7500</v>
      </c>
      <c r="AB133" s="3">
        <f t="shared" si="1"/>
        <v>-2500</v>
      </c>
    </row>
    <row r="134" spans="1:28" x14ac:dyDescent="0.2">
      <c r="A134" s="132">
        <v>12473190</v>
      </c>
      <c r="B134" s="60">
        <v>3220</v>
      </c>
      <c r="C134" s="60" t="s">
        <v>1268</v>
      </c>
      <c r="D134" s="60" t="s">
        <v>1119</v>
      </c>
      <c r="E134" s="63">
        <v>4300000</v>
      </c>
      <c r="F134" s="63">
        <v>4292307.42</v>
      </c>
      <c r="G134" s="63">
        <v>4300000</v>
      </c>
      <c r="H134" s="63">
        <v>4164561.22</v>
      </c>
      <c r="I134" s="63">
        <v>4300000</v>
      </c>
      <c r="J134" s="4">
        <v>4200000</v>
      </c>
      <c r="K134" s="63">
        <v>3863404.18</v>
      </c>
      <c r="L134" s="4">
        <v>4100000</v>
      </c>
      <c r="M134" s="63">
        <v>3773666.61</v>
      </c>
      <c r="N134" s="4">
        <v>3900000</v>
      </c>
      <c r="O134" s="63">
        <v>3790632.2</v>
      </c>
      <c r="P134" s="4">
        <v>3850000</v>
      </c>
      <c r="Q134" s="63">
        <v>3861196.67</v>
      </c>
      <c r="R134" s="4">
        <v>3850000</v>
      </c>
      <c r="S134" s="4">
        <v>4256669.09</v>
      </c>
      <c r="T134" s="4">
        <v>3850000</v>
      </c>
      <c r="U134" s="4">
        <v>5293978</v>
      </c>
      <c r="V134" s="4">
        <v>5496246.5</v>
      </c>
      <c r="W134" s="4">
        <v>5565027</v>
      </c>
      <c r="X134" s="4">
        <v>6009856</v>
      </c>
      <c r="Y134" s="4">
        <v>5854190</v>
      </c>
      <c r="Z134" s="151">
        <v>5625000</v>
      </c>
      <c r="AA134" s="151">
        <v>5625000</v>
      </c>
      <c r="AB134" s="3">
        <f t="shared" si="1"/>
        <v>0</v>
      </c>
    </row>
    <row r="135" spans="1:28" x14ac:dyDescent="0.2">
      <c r="A135" s="134">
        <v>12473200</v>
      </c>
      <c r="B135" s="135">
        <v>3290</v>
      </c>
      <c r="C135" s="135" t="s">
        <v>1045</v>
      </c>
      <c r="D135" s="135" t="s">
        <v>1119</v>
      </c>
      <c r="E135" s="136">
        <v>13500</v>
      </c>
      <c r="F135" s="136">
        <v>12316</v>
      </c>
      <c r="G135" s="136">
        <v>13500</v>
      </c>
      <c r="H135" s="136">
        <v>10084</v>
      </c>
      <c r="I135" s="136">
        <v>13000</v>
      </c>
      <c r="J135" s="137">
        <v>12000</v>
      </c>
      <c r="K135" s="136">
        <v>9430</v>
      </c>
      <c r="L135" s="137">
        <v>11500</v>
      </c>
      <c r="M135" s="136">
        <v>9459</v>
      </c>
      <c r="N135" s="137">
        <v>10265.645161290322</v>
      </c>
      <c r="O135" s="136">
        <v>9702</v>
      </c>
      <c r="P135" s="137">
        <v>9913.6545454545449</v>
      </c>
      <c r="Q135" s="136">
        <v>9777</v>
      </c>
      <c r="R135" s="137">
        <v>9950</v>
      </c>
      <c r="S135" s="137">
        <v>10445</v>
      </c>
      <c r="T135" s="137">
        <v>9750</v>
      </c>
      <c r="U135" s="137">
        <v>12148</v>
      </c>
      <c r="V135" s="137">
        <v>11960</v>
      </c>
      <c r="W135" s="137">
        <v>11554</v>
      </c>
      <c r="X135" s="137">
        <v>13440</v>
      </c>
      <c r="Y135" s="137">
        <v>11724</v>
      </c>
      <c r="Z135" s="152">
        <v>12000</v>
      </c>
      <c r="AA135" s="152">
        <v>12000</v>
      </c>
      <c r="AB135" s="3">
        <f t="shared" si="1"/>
        <v>0</v>
      </c>
    </row>
    <row r="136" spans="1:28" x14ac:dyDescent="0.2">
      <c r="A136" s="132">
        <v>12473210</v>
      </c>
      <c r="B136" s="60">
        <v>3290</v>
      </c>
      <c r="C136" s="60" t="s">
        <v>1046</v>
      </c>
      <c r="D136" s="60" t="s">
        <v>1119</v>
      </c>
      <c r="E136" s="63">
        <v>22000</v>
      </c>
      <c r="F136" s="63">
        <v>22113.5</v>
      </c>
      <c r="G136" s="63">
        <v>22000</v>
      </c>
      <c r="H136" s="63">
        <v>21487</v>
      </c>
      <c r="I136" s="63">
        <v>22500</v>
      </c>
      <c r="J136" s="4">
        <v>22500</v>
      </c>
      <c r="K136" s="63">
        <v>25275.5</v>
      </c>
      <c r="L136" s="4">
        <v>23000</v>
      </c>
      <c r="M136" s="63">
        <v>23774.5</v>
      </c>
      <c r="N136" s="4">
        <v>23877.758064516129</v>
      </c>
      <c r="O136" s="63">
        <f>10652.5+14775</f>
        <v>25427.5</v>
      </c>
      <c r="P136" s="4">
        <v>23832.7</v>
      </c>
      <c r="Q136" s="63">
        <f>10648+16534.15</f>
        <v>27182.15</v>
      </c>
      <c r="R136" s="4">
        <v>24400</v>
      </c>
      <c r="S136" s="4">
        <f>16163+10810.5</f>
        <v>26973.5</v>
      </c>
      <c r="T136" s="4">
        <v>25500</v>
      </c>
      <c r="U136" s="4">
        <v>25621</v>
      </c>
      <c r="V136" s="4">
        <v>27007.5</v>
      </c>
      <c r="W136" s="4">
        <v>12028</v>
      </c>
      <c r="X136" s="4">
        <f>10060+13614</f>
        <v>23674</v>
      </c>
      <c r="Y136" s="4">
        <f>16766+12390</f>
        <v>29156</v>
      </c>
      <c r="Z136" s="151">
        <v>23000</v>
      </c>
      <c r="AA136" s="151">
        <v>30000</v>
      </c>
      <c r="AB136" s="3">
        <f t="shared" si="1"/>
        <v>7000</v>
      </c>
    </row>
    <row r="137" spans="1:28" x14ac:dyDescent="0.2">
      <c r="A137" s="134">
        <v>12473220</v>
      </c>
      <c r="B137" s="135">
        <v>3290</v>
      </c>
      <c r="C137" s="135" t="s">
        <v>1047</v>
      </c>
      <c r="D137" s="135" t="s">
        <v>1119</v>
      </c>
      <c r="E137" s="136">
        <v>1000</v>
      </c>
      <c r="F137" s="136">
        <v>521</v>
      </c>
      <c r="G137" s="136">
        <v>1000</v>
      </c>
      <c r="H137" s="136">
        <v>1882</v>
      </c>
      <c r="I137" s="136">
        <v>800</v>
      </c>
      <c r="J137" s="137">
        <v>1200</v>
      </c>
      <c r="K137" s="136">
        <v>834</v>
      </c>
      <c r="L137" s="137">
        <v>850</v>
      </c>
      <c r="M137" s="136">
        <v>851</v>
      </c>
      <c r="N137" s="137">
        <v>945.35483870967744</v>
      </c>
      <c r="O137" s="136">
        <f>5547-3401</f>
        <v>2146</v>
      </c>
      <c r="P137" s="137">
        <v>904.18181818181813</v>
      </c>
      <c r="Q137" s="136">
        <f>4218-3365</f>
        <v>853</v>
      </c>
      <c r="R137" s="137">
        <v>1250</v>
      </c>
      <c r="S137" s="137">
        <f>4294-3085</f>
        <v>1209</v>
      </c>
      <c r="T137" s="137">
        <v>1200</v>
      </c>
      <c r="U137" s="137">
        <v>995</v>
      </c>
      <c r="V137" s="137">
        <v>986</v>
      </c>
      <c r="W137" s="137">
        <v>633</v>
      </c>
      <c r="X137" s="137">
        <f>10019-7270</f>
        <v>2749</v>
      </c>
      <c r="Y137" s="137">
        <f>10062-9456</f>
        <v>606</v>
      </c>
      <c r="Z137" s="152">
        <v>2500</v>
      </c>
      <c r="AA137" s="152">
        <v>1000</v>
      </c>
      <c r="AB137" s="3">
        <f t="shared" si="1"/>
        <v>-1500</v>
      </c>
    </row>
    <row r="138" spans="1:28" x14ac:dyDescent="0.2">
      <c r="A138" s="132">
        <v>12473240</v>
      </c>
      <c r="B138" s="60">
        <v>3290</v>
      </c>
      <c r="C138" s="60" t="s">
        <v>140</v>
      </c>
      <c r="D138" s="60" t="s">
        <v>1119</v>
      </c>
      <c r="E138" s="63">
        <v>700</v>
      </c>
      <c r="F138" s="63">
        <v>727.5</v>
      </c>
      <c r="G138" s="63">
        <v>700</v>
      </c>
      <c r="H138" s="63">
        <v>779.5</v>
      </c>
      <c r="I138" s="63">
        <v>700</v>
      </c>
      <c r="J138" s="4">
        <v>800</v>
      </c>
      <c r="K138" s="63">
        <v>853.5</v>
      </c>
      <c r="L138" s="4">
        <v>800</v>
      </c>
      <c r="M138" s="63">
        <v>2119</v>
      </c>
      <c r="N138" s="4">
        <v>817.43548387096769</v>
      </c>
      <c r="O138" s="63">
        <v>3294</v>
      </c>
      <c r="P138" s="4">
        <v>1385.3909090909092</v>
      </c>
      <c r="Q138" s="63">
        <v>2700</v>
      </c>
      <c r="R138" s="4">
        <v>2000</v>
      </c>
      <c r="S138" s="4">
        <v>2415</v>
      </c>
      <c r="T138" s="4">
        <v>2375</v>
      </c>
      <c r="U138" s="4">
        <v>2820</v>
      </c>
      <c r="V138" s="4">
        <v>2566</v>
      </c>
      <c r="W138" s="4">
        <v>1825</v>
      </c>
      <c r="X138" s="4">
        <v>2820</v>
      </c>
      <c r="Y138" s="4">
        <v>2865</v>
      </c>
      <c r="Z138" s="151">
        <v>2500</v>
      </c>
      <c r="AA138" s="151">
        <v>2500</v>
      </c>
      <c r="AB138" s="3">
        <f t="shared" si="1"/>
        <v>0</v>
      </c>
    </row>
    <row r="139" spans="1:28" x14ac:dyDescent="0.2">
      <c r="A139" s="134">
        <v>12473300</v>
      </c>
      <c r="B139" s="135">
        <v>3290</v>
      </c>
      <c r="C139" s="135" t="s">
        <v>669</v>
      </c>
      <c r="D139" s="135" t="s">
        <v>1119</v>
      </c>
      <c r="E139" s="136">
        <v>73900</v>
      </c>
      <c r="F139" s="136">
        <v>67140.5</v>
      </c>
      <c r="G139" s="136">
        <v>73900</v>
      </c>
      <c r="H139" s="136">
        <v>69112</v>
      </c>
      <c r="I139" s="136">
        <v>73900</v>
      </c>
      <c r="J139" s="137">
        <v>71000</v>
      </c>
      <c r="K139" s="136">
        <v>73850</v>
      </c>
      <c r="L139" s="137">
        <v>71000</v>
      </c>
      <c r="M139" s="136">
        <v>78465.5</v>
      </c>
      <c r="N139" s="137">
        <f>15000+71634.5161290323</f>
        <v>86634.516129032301</v>
      </c>
      <c r="O139" s="136">
        <v>91448</v>
      </c>
      <c r="P139" s="137">
        <v>78750</v>
      </c>
      <c r="Q139" s="136">
        <v>92793</v>
      </c>
      <c r="R139" s="137">
        <v>79950</v>
      </c>
      <c r="S139" s="137">
        <v>94185</v>
      </c>
      <c r="T139" s="137">
        <v>80000</v>
      </c>
      <c r="U139" s="137">
        <v>96341</v>
      </c>
      <c r="V139" s="137">
        <v>98788.2</v>
      </c>
      <c r="W139" s="137">
        <v>97935</v>
      </c>
      <c r="X139" s="137">
        <v>105572</v>
      </c>
      <c r="Y139" s="137">
        <v>102563</v>
      </c>
      <c r="Z139" s="152">
        <v>100000</v>
      </c>
      <c r="AA139" s="152">
        <v>100000</v>
      </c>
      <c r="AB139" s="3">
        <f t="shared" ref="AB139:AB148" si="2">+AA139-Z139</f>
        <v>0</v>
      </c>
    </row>
    <row r="140" spans="1:28" x14ac:dyDescent="0.2">
      <c r="A140" s="132">
        <v>12474400</v>
      </c>
      <c r="B140" s="60">
        <v>3401</v>
      </c>
      <c r="C140" s="60" t="s">
        <v>141</v>
      </c>
      <c r="D140" s="60" t="s">
        <v>1119</v>
      </c>
      <c r="E140" s="63">
        <v>3500</v>
      </c>
      <c r="F140" s="63">
        <v>6612</v>
      </c>
      <c r="G140" s="63">
        <v>3500</v>
      </c>
      <c r="H140" s="63">
        <v>1015</v>
      </c>
      <c r="I140" s="63">
        <v>7000</v>
      </c>
      <c r="J140" s="4">
        <v>4000</v>
      </c>
      <c r="K140" s="63">
        <v>5260</v>
      </c>
      <c r="L140" s="4">
        <v>4400</v>
      </c>
      <c r="M140" s="63">
        <v>4579</v>
      </c>
      <c r="N140" s="4">
        <v>4288.4193548387093</v>
      </c>
      <c r="O140" s="63">
        <f>-8135+6864+6608</f>
        <v>5337</v>
      </c>
      <c r="P140" s="4">
        <v>4415.2181818181816</v>
      </c>
      <c r="Q140" s="63">
        <f>-8811+6919+7602</f>
        <v>5710</v>
      </c>
      <c r="R140" s="4">
        <v>4950</v>
      </c>
      <c r="S140" s="4">
        <f>15.5+436+4756+5182</f>
        <v>10389.5</v>
      </c>
      <c r="T140" s="4">
        <v>5000</v>
      </c>
      <c r="U140" s="4">
        <v>11832</v>
      </c>
      <c r="V140" s="4">
        <v>12117</v>
      </c>
      <c r="W140" s="4">
        <v>13423</v>
      </c>
      <c r="X140" s="4">
        <f>685+9272+12185</f>
        <v>22142</v>
      </c>
      <c r="Y140" s="4">
        <f>6615+14030+88</f>
        <v>20733</v>
      </c>
      <c r="Z140" s="151">
        <v>20000</v>
      </c>
      <c r="AA140" s="151">
        <v>20000</v>
      </c>
      <c r="AB140" s="3">
        <f t="shared" si="2"/>
        <v>0</v>
      </c>
    </row>
    <row r="141" spans="1:28" x14ac:dyDescent="0.2">
      <c r="A141" s="134">
        <v>12474850</v>
      </c>
      <c r="B141" s="135">
        <v>3290</v>
      </c>
      <c r="C141" s="135" t="s">
        <v>1080</v>
      </c>
      <c r="D141" s="135" t="s">
        <v>1119</v>
      </c>
      <c r="E141" s="136">
        <v>30000</v>
      </c>
      <c r="F141" s="136">
        <v>30966</v>
      </c>
      <c r="G141" s="136">
        <v>30000</v>
      </c>
      <c r="H141" s="136">
        <v>30695</v>
      </c>
      <c r="I141" s="136">
        <v>31000</v>
      </c>
      <c r="J141" s="137">
        <v>31000</v>
      </c>
      <c r="K141" s="136">
        <v>30407</v>
      </c>
      <c r="L141" s="137">
        <v>31500</v>
      </c>
      <c r="M141" s="136">
        <v>30305</v>
      </c>
      <c r="N141" s="137">
        <v>30527.725806451614</v>
      </c>
      <c r="O141" s="136">
        <v>30488</v>
      </c>
      <c r="P141" s="137">
        <v>30430.536363636365</v>
      </c>
      <c r="Q141" s="136">
        <v>30882</v>
      </c>
      <c r="R141" s="137">
        <v>30550</v>
      </c>
      <c r="S141" s="137">
        <v>31257</v>
      </c>
      <c r="T141" s="137">
        <v>30600</v>
      </c>
      <c r="U141" s="137">
        <v>32295</v>
      </c>
      <c r="V141" s="137">
        <v>32482</v>
      </c>
      <c r="W141" s="137">
        <v>32218</v>
      </c>
      <c r="X141" s="137">
        <v>34502</v>
      </c>
      <c r="Y141" s="137">
        <v>33444</v>
      </c>
      <c r="Z141" s="152">
        <v>32000</v>
      </c>
      <c r="AA141" s="152">
        <v>32000</v>
      </c>
      <c r="AB141" s="3">
        <f t="shared" si="2"/>
        <v>0</v>
      </c>
    </row>
    <row r="142" spans="1:28" x14ac:dyDescent="0.2">
      <c r="A142" s="132">
        <v>12474990</v>
      </c>
      <c r="B142" s="60">
        <v>3401</v>
      </c>
      <c r="C142" s="60" t="s">
        <v>1060</v>
      </c>
      <c r="D142" s="60" t="s">
        <v>1119</v>
      </c>
      <c r="E142" s="63">
        <v>3500</v>
      </c>
      <c r="F142" s="63">
        <v>5267.82</v>
      </c>
      <c r="G142" s="63">
        <v>3500</v>
      </c>
      <c r="H142" s="63">
        <f>-25.51-2+6126.36</f>
        <v>6098.8499999999995</v>
      </c>
      <c r="I142" s="63">
        <v>3500</v>
      </c>
      <c r="J142" s="4">
        <v>6200</v>
      </c>
      <c r="K142" s="63">
        <f>-83.33+4485.79</f>
        <v>4402.46</v>
      </c>
      <c r="L142" s="4">
        <v>6200</v>
      </c>
      <c r="M142" s="63">
        <f>-46.55+1198.85</f>
        <v>1152.3</v>
      </c>
      <c r="N142" s="4">
        <v>5354.4296774193544</v>
      </c>
      <c r="O142" s="63">
        <v>3620.14</v>
      </c>
      <c r="P142" s="4">
        <v>3541.085818181818</v>
      </c>
      <c r="Q142" s="63">
        <v>5376.41</v>
      </c>
      <c r="R142" s="4">
        <v>3550</v>
      </c>
      <c r="S142" s="4">
        <v>4096.67</v>
      </c>
      <c r="T142" s="4">
        <v>3500</v>
      </c>
      <c r="U142" s="4">
        <v>4644</v>
      </c>
      <c r="V142" s="4">
        <v>4800.7</v>
      </c>
      <c r="W142" s="4">
        <v>3292</v>
      </c>
      <c r="X142" s="4">
        <f>5686+159</f>
        <v>5845</v>
      </c>
      <c r="Y142" s="4">
        <v>4513</v>
      </c>
      <c r="Z142" s="151">
        <v>5500</v>
      </c>
      <c r="AA142" s="151">
        <v>5500</v>
      </c>
      <c r="AB142" s="3">
        <f t="shared" si="2"/>
        <v>0</v>
      </c>
    </row>
    <row r="143" spans="1:28" x14ac:dyDescent="0.2">
      <c r="A143" s="134">
        <v>12475010</v>
      </c>
      <c r="B143" s="135">
        <v>3503</v>
      </c>
      <c r="C143" s="135" t="s">
        <v>971</v>
      </c>
      <c r="D143" s="135" t="s">
        <v>1119</v>
      </c>
      <c r="E143" s="136">
        <v>5900</v>
      </c>
      <c r="F143" s="136">
        <v>2746</v>
      </c>
      <c r="G143" s="136">
        <v>5500</v>
      </c>
      <c r="H143" s="136">
        <v>3931</v>
      </c>
      <c r="I143" s="136">
        <v>2500</v>
      </c>
      <c r="J143" s="137">
        <v>2900</v>
      </c>
      <c r="K143" s="136">
        <v>4264.5</v>
      </c>
      <c r="L143" s="137">
        <v>2500</v>
      </c>
      <c r="M143" s="136">
        <v>4065</v>
      </c>
      <c r="N143" s="137">
        <v>3185.7419354838707</v>
      </c>
      <c r="O143" s="136">
        <v>2880</v>
      </c>
      <c r="P143" s="137">
        <v>3569.4181818181819</v>
      </c>
      <c r="Q143" s="136">
        <v>4125</v>
      </c>
      <c r="R143" s="137">
        <v>3075</v>
      </c>
      <c r="S143" s="137">
        <v>6165</v>
      </c>
      <c r="T143" s="137">
        <v>3075</v>
      </c>
      <c r="U143" s="137">
        <v>4110</v>
      </c>
      <c r="V143" s="137">
        <v>5895</v>
      </c>
      <c r="W143" s="137">
        <v>5520</v>
      </c>
      <c r="X143" s="137">
        <v>5160</v>
      </c>
      <c r="Y143" s="137">
        <v>7965</v>
      </c>
      <c r="Z143" s="152">
        <v>5000</v>
      </c>
      <c r="AA143" s="152">
        <v>5000</v>
      </c>
      <c r="AB143" s="3">
        <f t="shared" si="2"/>
        <v>0</v>
      </c>
    </row>
    <row r="144" spans="1:28" x14ac:dyDescent="0.2">
      <c r="A144" s="132">
        <v>12475020</v>
      </c>
      <c r="B144" s="60">
        <v>3503</v>
      </c>
      <c r="C144" s="60" t="s">
        <v>1254</v>
      </c>
      <c r="D144" s="60" t="s">
        <v>1119</v>
      </c>
      <c r="E144" s="63">
        <v>11000</v>
      </c>
      <c r="F144" s="63">
        <v>9000</v>
      </c>
      <c r="G144" s="63">
        <v>11000</v>
      </c>
      <c r="H144" s="63">
        <v>7895</v>
      </c>
      <c r="I144" s="63">
        <v>9500</v>
      </c>
      <c r="J144" s="4">
        <v>8000</v>
      </c>
      <c r="K144" s="63">
        <v>7575</v>
      </c>
      <c r="L144" s="4">
        <v>8000</v>
      </c>
      <c r="M144" s="63">
        <v>8105</v>
      </c>
      <c r="N144" s="4">
        <v>8438.0645161290322</v>
      </c>
      <c r="O144" s="63">
        <v>8055</v>
      </c>
      <c r="P144" s="4">
        <v>8292.7272727272721</v>
      </c>
      <c r="Q144" s="63">
        <v>8130</v>
      </c>
      <c r="R144" s="4">
        <v>8325</v>
      </c>
      <c r="S144" s="4">
        <f>11217.5-100.31-54.42</f>
        <v>11062.77</v>
      </c>
      <c r="T144" s="4">
        <v>8100</v>
      </c>
      <c r="U144" s="4">
        <v>6393</v>
      </c>
      <c r="V144" s="4">
        <v>8416</v>
      </c>
      <c r="W144" s="4">
        <v>6052</v>
      </c>
      <c r="X144" s="4">
        <v>13376</v>
      </c>
      <c r="Y144" s="4">
        <v>9657</v>
      </c>
      <c r="Z144" s="151">
        <v>10000</v>
      </c>
      <c r="AA144" s="151">
        <v>10000</v>
      </c>
      <c r="AB144" s="3">
        <f t="shared" si="2"/>
        <v>0</v>
      </c>
    </row>
    <row r="145" spans="1:28" ht="13.5" thickBot="1" x14ac:dyDescent="0.25">
      <c r="A145" s="138">
        <v>12478310</v>
      </c>
      <c r="B145" s="139">
        <v>3503</v>
      </c>
      <c r="C145" s="139" t="s">
        <v>1255</v>
      </c>
      <c r="D145" s="139" t="s">
        <v>1119</v>
      </c>
      <c r="E145" s="140">
        <v>0</v>
      </c>
      <c r="F145" s="140">
        <f>-29.42+34.88</f>
        <v>5.4600000000000009</v>
      </c>
      <c r="G145" s="140">
        <v>0</v>
      </c>
      <c r="H145" s="140">
        <v>-58.36</v>
      </c>
      <c r="I145" s="140">
        <v>0</v>
      </c>
      <c r="J145" s="141">
        <v>0</v>
      </c>
      <c r="K145" s="140">
        <v>-74.7</v>
      </c>
      <c r="L145" s="141">
        <v>0</v>
      </c>
      <c r="M145" s="140">
        <v>0</v>
      </c>
      <c r="N145" s="141">
        <v>0</v>
      </c>
      <c r="O145" s="140">
        <f>-341.56+105.62</f>
        <v>-235.94</v>
      </c>
      <c r="P145" s="141">
        <v>0</v>
      </c>
      <c r="Q145" s="140">
        <f>-589.2+84.29</f>
        <v>-504.91</v>
      </c>
      <c r="R145" s="141">
        <v>0</v>
      </c>
      <c r="S145" s="141">
        <v>0</v>
      </c>
      <c r="T145" s="141">
        <v>0</v>
      </c>
      <c r="U145" s="141">
        <v>-178</v>
      </c>
      <c r="V145" s="141">
        <v>148.19999999999999</v>
      </c>
      <c r="W145" s="141">
        <v>-133</v>
      </c>
      <c r="X145" s="141">
        <v>90</v>
      </c>
      <c r="Y145" s="141">
        <v>-48</v>
      </c>
      <c r="Z145" s="159">
        <v>0</v>
      </c>
      <c r="AA145" s="159">
        <v>0</v>
      </c>
      <c r="AB145" s="3">
        <f t="shared" si="2"/>
        <v>0</v>
      </c>
    </row>
    <row r="146" spans="1:28" x14ac:dyDescent="0.2">
      <c r="A146" s="132">
        <v>12578240</v>
      </c>
      <c r="B146" s="60">
        <v>3503</v>
      </c>
      <c r="C146" s="60" t="s">
        <v>1062</v>
      </c>
      <c r="D146" s="60" t="s">
        <v>688</v>
      </c>
      <c r="E146" s="63">
        <v>0</v>
      </c>
      <c r="F146" s="63">
        <v>2870</v>
      </c>
      <c r="G146" s="63">
        <v>0</v>
      </c>
      <c r="H146" s="63">
        <v>0</v>
      </c>
      <c r="I146" s="63">
        <v>0</v>
      </c>
      <c r="J146" s="4">
        <v>0</v>
      </c>
      <c r="K146" s="63"/>
      <c r="L146" s="4">
        <v>2000</v>
      </c>
      <c r="M146" s="63">
        <v>1000</v>
      </c>
      <c r="N146" s="4">
        <v>1500</v>
      </c>
      <c r="O146" s="63">
        <v>1500</v>
      </c>
      <c r="P146" s="4">
        <v>878.87054545454544</v>
      </c>
      <c r="Q146" s="63">
        <v>644.05999999999995</v>
      </c>
      <c r="R146" s="4">
        <v>1500</v>
      </c>
      <c r="S146" s="4">
        <v>405.94</v>
      </c>
      <c r="T146" s="4">
        <v>1000</v>
      </c>
      <c r="U146" s="4">
        <v>400</v>
      </c>
      <c r="V146" s="4">
        <v>0</v>
      </c>
      <c r="W146" s="4">
        <v>0</v>
      </c>
      <c r="X146" s="4">
        <v>400</v>
      </c>
      <c r="Y146" s="4">
        <v>0</v>
      </c>
      <c r="Z146" s="151">
        <v>0</v>
      </c>
      <c r="AA146" s="151">
        <v>0</v>
      </c>
      <c r="AB146" s="3">
        <f t="shared" si="2"/>
        <v>0</v>
      </c>
    </row>
    <row r="147" spans="1:28" ht="15.75" thickBot="1" x14ac:dyDescent="0.4">
      <c r="A147" s="138">
        <v>12578330</v>
      </c>
      <c r="B147" s="139">
        <v>3503</v>
      </c>
      <c r="C147" s="139" t="s">
        <v>142</v>
      </c>
      <c r="D147" s="139" t="s">
        <v>688</v>
      </c>
      <c r="E147" s="140">
        <v>23000</v>
      </c>
      <c r="F147" s="147">
        <v>30487.19</v>
      </c>
      <c r="G147" s="147">
        <v>23000</v>
      </c>
      <c r="H147" s="147">
        <f>708.1+58516.42</f>
        <v>59224.52</v>
      </c>
      <c r="I147" s="147">
        <v>20000</v>
      </c>
      <c r="J147" s="148">
        <v>20000</v>
      </c>
      <c r="K147" s="147">
        <v>879.68</v>
      </c>
      <c r="L147" s="148">
        <v>15000</v>
      </c>
      <c r="M147" s="147">
        <v>4278.43</v>
      </c>
      <c r="N147" s="148">
        <v>785.09290322580637</v>
      </c>
      <c r="O147" s="147">
        <v>4942.25</v>
      </c>
      <c r="P147" s="148">
        <v>5000</v>
      </c>
      <c r="Q147" s="147">
        <v>3883.55</v>
      </c>
      <c r="R147" s="148">
        <v>5000</v>
      </c>
      <c r="S147" s="148">
        <v>6377.06</v>
      </c>
      <c r="T147" s="148">
        <v>5000</v>
      </c>
      <c r="U147" s="150">
        <v>73192.509999999995</v>
      </c>
      <c r="V147" s="150">
        <v>9052.44</v>
      </c>
      <c r="W147" s="150">
        <v>13456</v>
      </c>
      <c r="X147" s="150">
        <v>2559</v>
      </c>
      <c r="Y147" s="150">
        <v>7369</v>
      </c>
      <c r="Z147" s="231">
        <v>12000</v>
      </c>
      <c r="AA147" s="231">
        <v>12000</v>
      </c>
      <c r="AB147" s="3">
        <f t="shared" si="2"/>
        <v>0</v>
      </c>
    </row>
    <row r="148" spans="1:28" x14ac:dyDescent="0.2">
      <c r="A148" s="132"/>
      <c r="B148" s="60"/>
      <c r="C148" s="60" t="s">
        <v>1870</v>
      </c>
      <c r="D148" s="60"/>
      <c r="E148" s="63">
        <f>SUM(E10:E147)</f>
        <v>21587887</v>
      </c>
      <c r="F148" s="63">
        <f>SUM(F10:F147)</f>
        <v>21542002.569000009</v>
      </c>
      <c r="G148" s="63">
        <f>SUM(G10:G147)</f>
        <v>20643600</v>
      </c>
      <c r="H148" s="63">
        <f>SUM(H10:H147)</f>
        <v>21215207.740000002</v>
      </c>
      <c r="I148" s="63">
        <f>SUM(I11:I147)</f>
        <v>10814098</v>
      </c>
      <c r="J148" s="4" t="e">
        <f>#N/A</f>
        <v>#N/A</v>
      </c>
      <c r="K148" s="63" t="e">
        <f>#N/A</f>
        <v>#N/A</v>
      </c>
      <c r="L148" s="4" t="e">
        <f>#N/A</f>
        <v>#N/A</v>
      </c>
      <c r="M148" s="63" t="e">
        <f>#N/A</f>
        <v>#N/A</v>
      </c>
      <c r="N148" s="4" t="e">
        <f>#N/A</f>
        <v>#N/A</v>
      </c>
      <c r="O148" s="63">
        <f t="shared" ref="O148:Y148" si="3">SUM(O10:O147)</f>
        <v>22077125.769999996</v>
      </c>
      <c r="P148" s="4">
        <f t="shared" si="3"/>
        <v>21933862.81363637</v>
      </c>
      <c r="Q148" s="4">
        <f t="shared" si="3"/>
        <v>21539400.039999999</v>
      </c>
      <c r="R148" s="4">
        <f t="shared" si="3"/>
        <v>24733072.414727274</v>
      </c>
      <c r="S148" s="4">
        <f t="shared" si="3"/>
        <v>24724121.300000001</v>
      </c>
      <c r="T148" s="4">
        <f t="shared" si="3"/>
        <v>23822802</v>
      </c>
      <c r="U148" s="4">
        <f t="shared" ref="U148:X148" si="4">SUM(U10:U147)</f>
        <v>27992264.990000002</v>
      </c>
      <c r="V148" s="4">
        <f t="shared" si="4"/>
        <v>26864927.009999998</v>
      </c>
      <c r="W148" s="4">
        <f t="shared" si="4"/>
        <v>31506409.5</v>
      </c>
      <c r="X148" s="4">
        <f t="shared" si="4"/>
        <v>30816992</v>
      </c>
      <c r="Y148" s="4">
        <f t="shared" si="3"/>
        <v>34959543.030000001</v>
      </c>
      <c r="Z148" s="151">
        <f>SUM(Z10:Z147)</f>
        <v>32598567</v>
      </c>
      <c r="AA148" s="151">
        <f>SUM(AA10:AA147)</f>
        <v>35316801</v>
      </c>
      <c r="AB148" s="3">
        <f t="shared" si="2"/>
        <v>2718234</v>
      </c>
    </row>
    <row r="149" spans="1:28" x14ac:dyDescent="0.2">
      <c r="A149" s="280"/>
      <c r="B149" s="62"/>
      <c r="C149" s="62"/>
      <c r="D149" s="62"/>
      <c r="E149" s="62"/>
      <c r="F149" s="62"/>
      <c r="G149" s="62"/>
      <c r="H149" s="62"/>
      <c r="I149" s="257"/>
      <c r="J149" s="62"/>
      <c r="K149" s="257"/>
      <c r="L149" s="62"/>
      <c r="M149" s="257"/>
      <c r="N149" s="49"/>
      <c r="O149" s="257"/>
      <c r="P149" s="49"/>
      <c r="Q149" s="257"/>
      <c r="R149" s="49"/>
      <c r="S149" s="49"/>
      <c r="T149" s="49"/>
      <c r="U149" s="49"/>
      <c r="V149" s="4"/>
      <c r="W149" s="4"/>
      <c r="X149" s="4"/>
      <c r="Y149" s="4"/>
      <c r="Z149" s="151"/>
      <c r="AA149" s="151"/>
    </row>
    <row r="150" spans="1:28" ht="13.5" thickBot="1" x14ac:dyDescent="0.25">
      <c r="A150" s="281"/>
      <c r="B150" s="282"/>
      <c r="C150" s="282"/>
      <c r="D150" s="282"/>
      <c r="E150" s="282"/>
      <c r="F150" s="282"/>
      <c r="G150" s="282"/>
      <c r="H150" s="282"/>
      <c r="I150" s="283"/>
      <c r="J150" s="282"/>
      <c r="K150" s="283"/>
      <c r="L150" s="282"/>
      <c r="M150" s="283"/>
      <c r="N150" s="145"/>
      <c r="O150" s="144"/>
      <c r="P150" s="145"/>
      <c r="Q150" s="144"/>
      <c r="R150" s="145"/>
      <c r="S150" s="145"/>
      <c r="T150" s="145"/>
      <c r="U150" s="145"/>
      <c r="V150" s="145"/>
      <c r="W150" s="145"/>
      <c r="X150" s="145"/>
      <c r="Y150" s="145"/>
      <c r="Z150" s="160"/>
      <c r="AA150" s="160"/>
    </row>
    <row r="151" spans="1:28" x14ac:dyDescent="0.2">
      <c r="A151" s="568" t="s">
        <v>838</v>
      </c>
      <c r="B151" s="568"/>
      <c r="C151" s="568"/>
      <c r="D151" s="568"/>
      <c r="E151" s="568"/>
      <c r="F151" s="568"/>
      <c r="G151" s="568"/>
      <c r="H151" s="568"/>
      <c r="I151" s="568"/>
      <c r="J151" s="568"/>
      <c r="K151" s="568"/>
      <c r="L151" s="568"/>
      <c r="M151" s="568"/>
      <c r="N151" s="568"/>
      <c r="O151" s="258"/>
      <c r="P151" s="238"/>
      <c r="Q151" s="258"/>
      <c r="R151" s="238"/>
      <c r="S151" s="259"/>
      <c r="T151" s="259"/>
      <c r="U151" s="259"/>
      <c r="V151" s="4"/>
      <c r="W151" s="4"/>
      <c r="X151" s="4"/>
      <c r="Y151" s="4"/>
      <c r="Z151" s="4"/>
      <c r="AA151" s="4"/>
    </row>
    <row r="152" spans="1:28" ht="13.5" thickBot="1" x14ac:dyDescent="0.25">
      <c r="A152" s="238"/>
      <c r="B152" s="238"/>
      <c r="C152" s="238"/>
      <c r="D152" s="238"/>
      <c r="E152" s="238"/>
      <c r="F152" s="238"/>
      <c r="G152" s="238"/>
      <c r="H152" s="238"/>
      <c r="I152" s="258"/>
      <c r="J152" s="238"/>
      <c r="K152" s="258"/>
      <c r="L152" s="238"/>
      <c r="M152" s="258"/>
      <c r="N152" s="259"/>
      <c r="O152" s="258"/>
      <c r="P152" s="259"/>
      <c r="Q152" s="258"/>
      <c r="R152" s="259"/>
      <c r="S152" s="259"/>
      <c r="T152" s="259"/>
      <c r="U152" s="259"/>
      <c r="V152" s="4"/>
      <c r="W152" s="4"/>
      <c r="X152" s="4"/>
      <c r="Y152" s="4"/>
      <c r="Z152" s="4"/>
      <c r="AA152" s="4"/>
    </row>
    <row r="153" spans="1:28" s="9" customFormat="1" ht="12" customHeight="1" x14ac:dyDescent="0.2">
      <c r="A153" s="248" t="s">
        <v>418</v>
      </c>
      <c r="B153" s="248"/>
      <c r="C153" s="248" t="s">
        <v>418</v>
      </c>
      <c r="D153" s="248" t="s">
        <v>418</v>
      </c>
      <c r="E153" s="248" t="s">
        <v>864</v>
      </c>
      <c r="F153" s="248" t="s">
        <v>864</v>
      </c>
      <c r="G153" s="248" t="s">
        <v>545</v>
      </c>
      <c r="H153" s="248" t="s">
        <v>545</v>
      </c>
      <c r="I153" s="133" t="s">
        <v>24</v>
      </c>
      <c r="J153" s="248" t="s">
        <v>903</v>
      </c>
      <c r="K153" s="133" t="s">
        <v>903</v>
      </c>
      <c r="L153" s="248" t="str">
        <f>+L5</f>
        <v>2009-10</v>
      </c>
      <c r="M153" s="133" t="s">
        <v>584</v>
      </c>
      <c r="N153" s="74" t="s">
        <v>402</v>
      </c>
      <c r="O153" s="133" t="s">
        <v>402</v>
      </c>
      <c r="P153" s="74" t="s">
        <v>826</v>
      </c>
      <c r="Q153" s="133" t="s">
        <v>826</v>
      </c>
      <c r="R153" s="248" t="s">
        <v>1594</v>
      </c>
      <c r="S153" s="73" t="s">
        <v>82</v>
      </c>
      <c r="T153" s="74" t="s">
        <v>82</v>
      </c>
      <c r="U153" s="279" t="s">
        <v>1785</v>
      </c>
      <c r="V153" s="279" t="s">
        <v>1918</v>
      </c>
      <c r="W153" s="279" t="s">
        <v>2003</v>
      </c>
      <c r="X153" s="279" t="s">
        <v>2084</v>
      </c>
      <c r="Y153" s="279" t="s">
        <v>2163</v>
      </c>
      <c r="Z153" s="357" t="s">
        <v>2290</v>
      </c>
      <c r="AA153" s="357" t="s">
        <v>2507</v>
      </c>
    </row>
    <row r="154" spans="1:28" s="9" customFormat="1" ht="12" customHeight="1" x14ac:dyDescent="0.2">
      <c r="A154" s="249" t="s">
        <v>837</v>
      </c>
      <c r="B154" s="249"/>
      <c r="C154" s="249" t="s">
        <v>279</v>
      </c>
      <c r="D154" s="249" t="s">
        <v>1444</v>
      </c>
      <c r="E154" s="249" t="s">
        <v>251</v>
      </c>
      <c r="F154" s="249" t="s">
        <v>250</v>
      </c>
      <c r="G154" s="249" t="s">
        <v>251</v>
      </c>
      <c r="H154" s="249" t="s">
        <v>250</v>
      </c>
      <c r="I154" s="250" t="s">
        <v>251</v>
      </c>
      <c r="J154" s="250" t="s">
        <v>251</v>
      </c>
      <c r="K154" s="250" t="s">
        <v>250</v>
      </c>
      <c r="L154" s="250" t="str">
        <f>+L6</f>
        <v>Budget</v>
      </c>
      <c r="M154" s="250" t="s">
        <v>250</v>
      </c>
      <c r="N154" s="250" t="s">
        <v>251</v>
      </c>
      <c r="O154" s="250" t="s">
        <v>250</v>
      </c>
      <c r="P154" s="250" t="s">
        <v>251</v>
      </c>
      <c r="Q154" s="250" t="s">
        <v>250</v>
      </c>
      <c r="R154" s="250" t="s">
        <v>251</v>
      </c>
      <c r="S154" s="251" t="s">
        <v>250</v>
      </c>
      <c r="T154" s="252" t="s">
        <v>251</v>
      </c>
      <c r="U154" s="251" t="s">
        <v>250</v>
      </c>
      <c r="V154" s="251" t="s">
        <v>250</v>
      </c>
      <c r="W154" s="251" t="s">
        <v>250</v>
      </c>
      <c r="X154" s="251" t="s">
        <v>250</v>
      </c>
      <c r="Y154" s="251" t="s">
        <v>250</v>
      </c>
      <c r="Z154" s="358" t="s">
        <v>251</v>
      </c>
      <c r="AA154" s="358" t="s">
        <v>251</v>
      </c>
    </row>
    <row r="155" spans="1:28" x14ac:dyDescent="0.2">
      <c r="A155" s="60">
        <v>311071720</v>
      </c>
      <c r="B155" s="60">
        <v>9997</v>
      </c>
      <c r="C155" s="60" t="s">
        <v>650</v>
      </c>
      <c r="D155" s="60" t="s">
        <v>1106</v>
      </c>
      <c r="E155" s="63">
        <v>0</v>
      </c>
      <c r="F155" s="63">
        <v>0</v>
      </c>
      <c r="G155" s="63">
        <v>0</v>
      </c>
      <c r="H155" s="63">
        <v>0</v>
      </c>
      <c r="I155" s="63">
        <v>900000</v>
      </c>
      <c r="J155" s="4">
        <v>0</v>
      </c>
      <c r="K155" s="63">
        <v>-175</v>
      </c>
      <c r="L155" s="4">
        <v>0</v>
      </c>
      <c r="M155" s="63"/>
      <c r="N155" s="4">
        <v>0</v>
      </c>
      <c r="O155" s="63">
        <v>-44.5</v>
      </c>
      <c r="P155" s="4">
        <v>0</v>
      </c>
      <c r="Q155" s="63"/>
      <c r="R155" s="4">
        <v>0</v>
      </c>
      <c r="S155" s="4">
        <v>-161.62</v>
      </c>
      <c r="T155" s="4"/>
      <c r="U155" s="4">
        <v>-11736.4</v>
      </c>
      <c r="V155" s="4">
        <v>-5250.41</v>
      </c>
      <c r="W155" s="4">
        <v>-526</v>
      </c>
      <c r="X155" s="4">
        <v>-1114</v>
      </c>
      <c r="Y155" s="4">
        <v>-688</v>
      </c>
      <c r="Z155" s="4">
        <v>0</v>
      </c>
      <c r="AA155" s="4">
        <v>0</v>
      </c>
    </row>
    <row r="156" spans="1:28" hidden="1" x14ac:dyDescent="0.2">
      <c r="A156" s="60">
        <v>311072290</v>
      </c>
      <c r="B156" s="60">
        <v>3359</v>
      </c>
      <c r="C156" s="60" t="s">
        <v>390</v>
      </c>
      <c r="D156" s="60" t="s">
        <v>1106</v>
      </c>
      <c r="E156" s="63">
        <v>0</v>
      </c>
      <c r="F156" s="63">
        <v>0</v>
      </c>
      <c r="G156" s="63">
        <v>0</v>
      </c>
      <c r="H156" s="63">
        <v>89059</v>
      </c>
      <c r="I156" s="63">
        <v>900000</v>
      </c>
      <c r="J156" s="4">
        <v>0</v>
      </c>
      <c r="K156" s="63">
        <v>668866</v>
      </c>
      <c r="L156" s="4">
        <v>50000</v>
      </c>
      <c r="M156" s="63">
        <v>0</v>
      </c>
      <c r="N156" s="4"/>
      <c r="O156" s="63"/>
      <c r="P156" s="4">
        <v>0</v>
      </c>
      <c r="Q156" s="63"/>
      <c r="R156" s="4">
        <v>0</v>
      </c>
      <c r="S156" s="4">
        <v>0</v>
      </c>
      <c r="T156" s="4"/>
      <c r="U156" s="4">
        <v>0</v>
      </c>
      <c r="V156" s="4">
        <v>0</v>
      </c>
      <c r="W156" s="4">
        <v>0</v>
      </c>
      <c r="X156" s="4">
        <v>0</v>
      </c>
      <c r="Y156" s="4">
        <v>0</v>
      </c>
      <c r="Z156" s="4"/>
      <c r="AA156" s="4"/>
    </row>
    <row r="157" spans="1:28" hidden="1" x14ac:dyDescent="0.2">
      <c r="A157" s="60">
        <v>311072500</v>
      </c>
      <c r="B157" s="60">
        <v>3311</v>
      </c>
      <c r="C157" s="60" t="s">
        <v>10</v>
      </c>
      <c r="D157" s="60" t="s">
        <v>1106</v>
      </c>
      <c r="E157" s="63"/>
      <c r="F157" s="63">
        <v>75489.919999999998</v>
      </c>
      <c r="G157" s="63"/>
      <c r="H157" s="63">
        <v>214870.23</v>
      </c>
      <c r="I157" s="63">
        <v>0</v>
      </c>
      <c r="J157" s="4">
        <v>0</v>
      </c>
      <c r="K157" s="63">
        <v>0</v>
      </c>
      <c r="L157" s="4">
        <v>0</v>
      </c>
      <c r="M157" s="63">
        <v>0</v>
      </c>
      <c r="N157" s="4"/>
      <c r="O157" s="63"/>
      <c r="P157" s="4">
        <v>0</v>
      </c>
      <c r="Q157" s="63"/>
      <c r="R157" s="4">
        <v>0</v>
      </c>
      <c r="S157" s="4">
        <v>0</v>
      </c>
      <c r="T157" s="4">
        <v>0</v>
      </c>
      <c r="U157" s="4">
        <v>0</v>
      </c>
      <c r="V157" s="4">
        <v>0</v>
      </c>
      <c r="W157" s="4">
        <v>0</v>
      </c>
      <c r="X157" s="4">
        <v>0</v>
      </c>
      <c r="Y157" s="4">
        <v>0</v>
      </c>
      <c r="Z157" s="4"/>
      <c r="AA157" s="4"/>
    </row>
    <row r="158" spans="1:28" s="32" customFormat="1" x14ac:dyDescent="0.2">
      <c r="A158" s="135">
        <v>311073310</v>
      </c>
      <c r="B158" s="135">
        <v>3290</v>
      </c>
      <c r="C158" s="135" t="s">
        <v>143</v>
      </c>
      <c r="D158" s="135" t="s">
        <v>1106</v>
      </c>
      <c r="E158" s="136">
        <v>600</v>
      </c>
      <c r="F158" s="136">
        <v>725</v>
      </c>
      <c r="G158" s="136">
        <v>600</v>
      </c>
      <c r="H158" s="136">
        <v>1150</v>
      </c>
      <c r="I158" s="136">
        <v>600</v>
      </c>
      <c r="J158" s="137">
        <v>800</v>
      </c>
      <c r="K158" s="136">
        <v>1250</v>
      </c>
      <c r="L158" s="137">
        <v>3100</v>
      </c>
      <c r="M158" s="136">
        <v>1326</v>
      </c>
      <c r="N158" s="137">
        <v>1300</v>
      </c>
      <c r="O158" s="136">
        <v>1350</v>
      </c>
      <c r="P158" s="137">
        <v>1406.3818181818183</v>
      </c>
      <c r="Q158" s="136">
        <v>1000</v>
      </c>
      <c r="R158" s="137">
        <v>1350</v>
      </c>
      <c r="S158" s="137">
        <v>2252.3000000000002</v>
      </c>
      <c r="T158" s="137">
        <v>1350</v>
      </c>
      <c r="U158" s="193">
        <v>1100</v>
      </c>
      <c r="V158" s="193">
        <v>1186.75</v>
      </c>
      <c r="W158" s="193">
        <v>250</v>
      </c>
      <c r="X158" s="137">
        <v>800</v>
      </c>
      <c r="Y158" s="137">
        <v>509</v>
      </c>
      <c r="Z158" s="137">
        <v>789</v>
      </c>
      <c r="AA158" s="137">
        <v>500</v>
      </c>
    </row>
    <row r="159" spans="1:28" s="32" customFormat="1" x14ac:dyDescent="0.2">
      <c r="A159" s="60">
        <v>311074010</v>
      </c>
      <c r="B159" s="60">
        <v>3401</v>
      </c>
      <c r="C159" s="60" t="s">
        <v>144</v>
      </c>
      <c r="D159" s="60" t="s">
        <v>1106</v>
      </c>
      <c r="E159" s="63">
        <v>2700000</v>
      </c>
      <c r="F159" s="63">
        <v>2291715.35</v>
      </c>
      <c r="G159" s="63">
        <v>2700000</v>
      </c>
      <c r="H159" s="63">
        <v>1954950.88</v>
      </c>
      <c r="I159" s="63">
        <v>2157840</v>
      </c>
      <c r="J159" s="4">
        <v>1900000</v>
      </c>
      <c r="K159" s="63">
        <v>1602465.49</v>
      </c>
      <c r="L159" s="4">
        <f>404985+1835143</f>
        <v>2240128</v>
      </c>
      <c r="M159" s="63">
        <f>1922977.24+89691.82</f>
        <v>2012669.06</v>
      </c>
      <c r="N159" s="4">
        <v>1771087</v>
      </c>
      <c r="O159" s="63">
        <v>115135.08</v>
      </c>
      <c r="P159" s="4">
        <v>2100000</v>
      </c>
      <c r="Q159" s="63">
        <f>400611.64+105571.53</f>
        <v>506183.17000000004</v>
      </c>
      <c r="R159" s="74">
        <v>370000</v>
      </c>
      <c r="S159" s="74">
        <f>112837.21+170855.89</f>
        <v>283693.10000000003</v>
      </c>
      <c r="T159" s="74">
        <v>338909</v>
      </c>
      <c r="U159" s="192">
        <v>168601.48</v>
      </c>
      <c r="V159" s="192">
        <v>171877.89</v>
      </c>
      <c r="W159" s="192">
        <v>173307</v>
      </c>
      <c r="X159" s="74">
        <v>171448</v>
      </c>
      <c r="Y159" s="74">
        <v>180410</v>
      </c>
      <c r="Z159" s="74">
        <v>175000</v>
      </c>
      <c r="AA159" s="74">
        <v>180000</v>
      </c>
    </row>
    <row r="160" spans="1:28" x14ac:dyDescent="0.2">
      <c r="A160" s="135">
        <v>311074020</v>
      </c>
      <c r="B160" s="135">
        <v>3401</v>
      </c>
      <c r="C160" s="135" t="s">
        <v>1600</v>
      </c>
      <c r="D160" s="135" t="s">
        <v>1106</v>
      </c>
      <c r="E160" s="136">
        <v>800000</v>
      </c>
      <c r="F160" s="136">
        <v>860599</v>
      </c>
      <c r="G160" s="136">
        <v>800000</v>
      </c>
      <c r="H160" s="136">
        <v>866868</v>
      </c>
      <c r="I160" s="136">
        <v>860000</v>
      </c>
      <c r="J160" s="137">
        <v>870000</v>
      </c>
      <c r="K160" s="136">
        <v>928443</v>
      </c>
      <c r="L160" s="137">
        <v>1008201</v>
      </c>
      <c r="M160" s="136">
        <v>966642</v>
      </c>
      <c r="N160" s="137">
        <v>968502</v>
      </c>
      <c r="O160" s="136">
        <v>1002750</v>
      </c>
      <c r="P160" s="137">
        <f>1.12*928468.027272727-51</f>
        <v>1039833.1905454543</v>
      </c>
      <c r="Q160" s="136">
        <v>1035540</v>
      </c>
      <c r="R160" s="137">
        <v>1078000</v>
      </c>
      <c r="S160" s="137">
        <v>1096822.1000000001</v>
      </c>
      <c r="T160" s="137">
        <v>1178155</v>
      </c>
      <c r="U160" s="193">
        <v>1305348</v>
      </c>
      <c r="V160" s="193">
        <v>1392470</v>
      </c>
      <c r="W160" s="193">
        <v>1488202</v>
      </c>
      <c r="X160" s="137">
        <v>1596330</v>
      </c>
      <c r="Y160" s="137">
        <v>1704984</v>
      </c>
      <c r="Z160" s="137">
        <v>1500000</v>
      </c>
      <c r="AA160" s="137">
        <v>1700000</v>
      </c>
    </row>
    <row r="161" spans="1:27" x14ac:dyDescent="0.2">
      <c r="A161" s="60">
        <v>311074030</v>
      </c>
      <c r="B161" s="60">
        <v>3401</v>
      </c>
      <c r="C161" s="60" t="s">
        <v>472</v>
      </c>
      <c r="D161" s="60" t="s">
        <v>1106</v>
      </c>
      <c r="E161" s="63">
        <v>225000</v>
      </c>
      <c r="F161" s="63">
        <v>298779.84999999998</v>
      </c>
      <c r="G161" s="63">
        <v>225000</v>
      </c>
      <c r="H161" s="63">
        <v>279451.73</v>
      </c>
      <c r="I161" s="63">
        <v>275000</v>
      </c>
      <c r="J161" s="4">
        <v>280000</v>
      </c>
      <c r="K161" s="63">
        <v>236303.55</v>
      </c>
      <c r="L161" s="4">
        <v>349809</v>
      </c>
      <c r="M161" s="63">
        <v>261286.94</v>
      </c>
      <c r="N161" s="4">
        <v>336034</v>
      </c>
      <c r="O161" s="63">
        <v>305053.87</v>
      </c>
      <c r="P161" s="4">
        <v>280000</v>
      </c>
      <c r="Q161" s="63">
        <v>314805.06</v>
      </c>
      <c r="R161" s="4">
        <v>300000</v>
      </c>
      <c r="S161" s="4">
        <v>315931.19</v>
      </c>
      <c r="T161" s="4">
        <v>315000</v>
      </c>
      <c r="U161" s="192">
        <v>352342.75</v>
      </c>
      <c r="V161" s="192">
        <v>363225.48</v>
      </c>
      <c r="W161" s="192">
        <v>408701</v>
      </c>
      <c r="X161" s="4">
        <v>435286</v>
      </c>
      <c r="Y161" s="4">
        <v>376301</v>
      </c>
      <c r="Z161" s="4">
        <v>425000</v>
      </c>
      <c r="AA161" s="4">
        <v>375000</v>
      </c>
    </row>
    <row r="162" spans="1:27" hidden="1" x14ac:dyDescent="0.2">
      <c r="A162" s="60">
        <v>311074040</v>
      </c>
      <c r="B162" s="60">
        <v>3401</v>
      </c>
      <c r="C162" s="60" t="s">
        <v>473</v>
      </c>
      <c r="D162" s="60" t="s">
        <v>1106</v>
      </c>
      <c r="E162" s="63">
        <v>50</v>
      </c>
      <c r="F162" s="63">
        <v>71.5</v>
      </c>
      <c r="G162" s="63">
        <v>50</v>
      </c>
      <c r="H162" s="63">
        <v>427</v>
      </c>
      <c r="I162" s="63">
        <v>50</v>
      </c>
      <c r="J162" s="4">
        <v>400</v>
      </c>
      <c r="K162" s="63">
        <v>0</v>
      </c>
      <c r="L162" s="4">
        <v>400</v>
      </c>
      <c r="M162" s="63">
        <v>0</v>
      </c>
      <c r="N162" s="4">
        <v>124</v>
      </c>
      <c r="O162" s="63">
        <v>8014.92</v>
      </c>
      <c r="P162" s="4">
        <v>70.095454545454544</v>
      </c>
      <c r="Q162" s="63">
        <v>0</v>
      </c>
      <c r="R162" s="4">
        <v>70</v>
      </c>
      <c r="S162" s="4">
        <v>0</v>
      </c>
      <c r="T162" s="4">
        <v>0</v>
      </c>
      <c r="U162" s="192">
        <v>0</v>
      </c>
      <c r="V162" s="192">
        <v>0</v>
      </c>
      <c r="W162" s="192">
        <v>0</v>
      </c>
      <c r="X162" s="4">
        <v>0</v>
      </c>
      <c r="Y162" s="4">
        <v>0</v>
      </c>
      <c r="Z162" s="4"/>
      <c r="AA162" s="4"/>
    </row>
    <row r="163" spans="1:27" x14ac:dyDescent="0.2">
      <c r="A163" s="135">
        <v>311074050</v>
      </c>
      <c r="B163" s="135">
        <v>3401</v>
      </c>
      <c r="C163" s="135" t="s">
        <v>474</v>
      </c>
      <c r="D163" s="135" t="s">
        <v>1106</v>
      </c>
      <c r="E163" s="136">
        <v>1300</v>
      </c>
      <c r="F163" s="136">
        <v>1678.62</v>
      </c>
      <c r="G163" s="136">
        <v>1300</v>
      </c>
      <c r="H163" s="136">
        <v>1603.24</v>
      </c>
      <c r="I163" s="136">
        <v>1500</v>
      </c>
      <c r="J163" s="137">
        <v>1500</v>
      </c>
      <c r="K163" s="136">
        <v>3239.96</v>
      </c>
      <c r="L163" s="137">
        <v>1500</v>
      </c>
      <c r="M163" s="136">
        <v>1751.77</v>
      </c>
      <c r="N163" s="137">
        <v>2775</v>
      </c>
      <c r="O163" s="136">
        <v>1228.01</v>
      </c>
      <c r="P163" s="137">
        <v>2328.4052727272724</v>
      </c>
      <c r="Q163" s="136">
        <v>2292.79</v>
      </c>
      <c r="R163" s="137">
        <v>1500</v>
      </c>
      <c r="S163" s="137">
        <v>4409.46</v>
      </c>
      <c r="T163" s="137">
        <v>2200</v>
      </c>
      <c r="U163" s="193">
        <v>2312.34</v>
      </c>
      <c r="V163" s="193">
        <v>2369.41</v>
      </c>
      <c r="W163" s="193">
        <v>1473</v>
      </c>
      <c r="X163" s="137">
        <v>2110</v>
      </c>
      <c r="Y163" s="137">
        <v>2075</v>
      </c>
      <c r="Z163" s="137">
        <v>2100</v>
      </c>
      <c r="AA163" s="137">
        <v>2100</v>
      </c>
    </row>
    <row r="164" spans="1:27" x14ac:dyDescent="0.2">
      <c r="A164" s="60">
        <v>311074060</v>
      </c>
      <c r="B164" s="60">
        <v>3401</v>
      </c>
      <c r="C164" s="60" t="s">
        <v>170</v>
      </c>
      <c r="D164" s="60" t="s">
        <v>1106</v>
      </c>
      <c r="E164" s="63">
        <v>1000</v>
      </c>
      <c r="F164" s="63">
        <v>1434.44</v>
      </c>
      <c r="G164" s="63">
        <v>1000</v>
      </c>
      <c r="H164" s="63">
        <v>2488.21</v>
      </c>
      <c r="I164" s="63">
        <v>1000</v>
      </c>
      <c r="J164" s="4">
        <v>2500</v>
      </c>
      <c r="K164" s="63">
        <v>2573.4499999999998</v>
      </c>
      <c r="L164" s="4">
        <v>2500</v>
      </c>
      <c r="M164" s="63">
        <v>2846.92</v>
      </c>
      <c r="N164" s="4">
        <v>2029</v>
      </c>
      <c r="O164" s="63">
        <v>1972.24</v>
      </c>
      <c r="P164" s="4">
        <v>2386.1592727272723</v>
      </c>
      <c r="Q164" s="63">
        <v>1923.94</v>
      </c>
      <c r="R164" s="4">
        <v>2000</v>
      </c>
      <c r="S164" s="4">
        <v>712.5</v>
      </c>
      <c r="T164" s="4">
        <v>2000</v>
      </c>
      <c r="U164" s="192">
        <v>1681.09</v>
      </c>
      <c r="V164" s="192">
        <v>2414.25</v>
      </c>
      <c r="W164" s="192">
        <v>1201</v>
      </c>
      <c r="X164" s="4">
        <v>1891</v>
      </c>
      <c r="Y164" s="4">
        <v>1801</v>
      </c>
      <c r="Z164" s="151">
        <v>2000</v>
      </c>
      <c r="AA164" s="4">
        <v>2000</v>
      </c>
    </row>
    <row r="165" spans="1:27" x14ac:dyDescent="0.2">
      <c r="A165" s="135">
        <v>311074070</v>
      </c>
      <c r="B165" s="135">
        <v>3401</v>
      </c>
      <c r="C165" s="135" t="s">
        <v>171</v>
      </c>
      <c r="D165" s="135" t="s">
        <v>1106</v>
      </c>
      <c r="E165" s="136">
        <v>70000</v>
      </c>
      <c r="F165" s="136">
        <v>104726.38</v>
      </c>
      <c r="G165" s="136">
        <v>70000</v>
      </c>
      <c r="H165" s="136">
        <v>37214.300000000003</v>
      </c>
      <c r="I165" s="136">
        <v>75000</v>
      </c>
      <c r="J165" s="137">
        <v>57000</v>
      </c>
      <c r="K165" s="136">
        <v>58235.839999999997</v>
      </c>
      <c r="L165" s="137">
        <v>77855</v>
      </c>
      <c r="M165" s="136">
        <v>75411.66</v>
      </c>
      <c r="N165" s="137">
        <v>77365</v>
      </c>
      <c r="O165" s="136">
        <v>54950.38</v>
      </c>
      <c r="P165" s="137">
        <v>76512.848545454544</v>
      </c>
      <c r="Q165" s="136">
        <v>147191.53</v>
      </c>
      <c r="R165" s="137">
        <v>85000</v>
      </c>
      <c r="S165" s="137">
        <v>160438.43</v>
      </c>
      <c r="T165" s="137">
        <v>125000</v>
      </c>
      <c r="U165" s="193">
        <v>127453.37</v>
      </c>
      <c r="V165" s="193">
        <v>191620.74</v>
      </c>
      <c r="W165" s="193">
        <v>286975</v>
      </c>
      <c r="X165" s="137">
        <v>182428</v>
      </c>
      <c r="Y165" s="137">
        <v>136904</v>
      </c>
      <c r="Z165" s="137">
        <v>185000</v>
      </c>
      <c r="AA165" s="137">
        <v>150000</v>
      </c>
    </row>
    <row r="166" spans="1:27" x14ac:dyDescent="0.2">
      <c r="A166" s="60">
        <v>311074080</v>
      </c>
      <c r="B166" s="60">
        <v>3401</v>
      </c>
      <c r="C166" s="60" t="s">
        <v>172</v>
      </c>
      <c r="D166" s="60" t="s">
        <v>1106</v>
      </c>
      <c r="E166" s="63">
        <v>3500</v>
      </c>
      <c r="F166" s="63">
        <v>4590.6000000000004</v>
      </c>
      <c r="G166" s="63">
        <v>3500</v>
      </c>
      <c r="H166" s="63">
        <v>4461.25</v>
      </c>
      <c r="I166" s="63">
        <v>3500</v>
      </c>
      <c r="J166" s="4">
        <v>4500</v>
      </c>
      <c r="K166" s="63">
        <v>4019.3</v>
      </c>
      <c r="L166" s="4">
        <v>5760</v>
      </c>
      <c r="M166" s="63">
        <v>5607.6</v>
      </c>
      <c r="N166" s="4">
        <v>4800</v>
      </c>
      <c r="O166" s="63">
        <v>4602.3</v>
      </c>
      <c r="P166" s="4">
        <v>4859.5418181818186</v>
      </c>
      <c r="Q166" s="63">
        <v>4398.6000000000004</v>
      </c>
      <c r="R166" s="4">
        <v>5500</v>
      </c>
      <c r="S166" s="4">
        <v>4367.3</v>
      </c>
      <c r="T166" s="4">
        <v>4500</v>
      </c>
      <c r="U166" s="192">
        <v>6494.1</v>
      </c>
      <c r="V166" s="192">
        <v>2525.88</v>
      </c>
      <c r="W166" s="192">
        <v>5463</v>
      </c>
      <c r="X166" s="4">
        <v>3043</v>
      </c>
      <c r="Y166" s="4">
        <v>1678</v>
      </c>
      <c r="Z166" s="4">
        <v>3000</v>
      </c>
      <c r="AA166" s="4">
        <v>2000</v>
      </c>
    </row>
    <row r="167" spans="1:27" x14ac:dyDescent="0.2">
      <c r="A167" s="135">
        <v>311074090</v>
      </c>
      <c r="B167" s="135">
        <v>3401</v>
      </c>
      <c r="C167" s="135" t="s">
        <v>651</v>
      </c>
      <c r="D167" s="135" t="s">
        <v>1106</v>
      </c>
      <c r="E167" s="136"/>
      <c r="F167" s="136">
        <v>0</v>
      </c>
      <c r="G167" s="136"/>
      <c r="H167" s="136">
        <v>0</v>
      </c>
      <c r="I167" s="136"/>
      <c r="J167" s="137">
        <v>0</v>
      </c>
      <c r="K167" s="136">
        <v>25324</v>
      </c>
      <c r="L167" s="137"/>
      <c r="M167" s="136"/>
      <c r="N167" s="137"/>
      <c r="O167" s="136">
        <f>-1531.34+1735904.38</f>
        <v>1734373.0399999998</v>
      </c>
      <c r="P167" s="137">
        <v>0</v>
      </c>
      <c r="Q167" s="136">
        <v>1670859.61</v>
      </c>
      <c r="R167" s="137">
        <v>1900000</v>
      </c>
      <c r="S167" s="137">
        <v>1212780.8700000001</v>
      </c>
      <c r="T167" s="137">
        <v>1545618</v>
      </c>
      <c r="U167" s="193">
        <v>2032200.94</v>
      </c>
      <c r="V167" s="193">
        <v>2018801.66</v>
      </c>
      <c r="W167" s="193">
        <v>2192014</v>
      </c>
      <c r="X167" s="137">
        <v>2222926</v>
      </c>
      <c r="Y167" s="137">
        <v>2604055</v>
      </c>
      <c r="Z167" s="137">
        <v>2200000</v>
      </c>
      <c r="AA167" s="137">
        <v>2650000</v>
      </c>
    </row>
    <row r="168" spans="1:27" x14ac:dyDescent="0.2">
      <c r="A168" s="60">
        <v>311074100</v>
      </c>
      <c r="B168" s="60">
        <v>3401</v>
      </c>
      <c r="C168" s="60" t="s">
        <v>1643</v>
      </c>
      <c r="D168" s="60" t="s">
        <v>1106</v>
      </c>
      <c r="E168" s="63"/>
      <c r="F168" s="63"/>
      <c r="G168" s="63"/>
      <c r="H168" s="63"/>
      <c r="I168" s="63"/>
      <c r="J168" s="4"/>
      <c r="K168" s="63"/>
      <c r="L168" s="4"/>
      <c r="M168" s="63"/>
      <c r="N168" s="4"/>
      <c r="O168" s="63"/>
      <c r="P168" s="4"/>
      <c r="Q168" s="63"/>
      <c r="R168" s="4"/>
      <c r="S168" s="4">
        <v>320546.07</v>
      </c>
      <c r="T168" s="4"/>
      <c r="U168" s="192">
        <v>212105.27</v>
      </c>
      <c r="V168" s="192">
        <v>394068.33</v>
      </c>
      <c r="W168" s="192">
        <v>344683</v>
      </c>
      <c r="X168" s="4">
        <v>372771</v>
      </c>
      <c r="Y168" s="4">
        <v>352716</v>
      </c>
      <c r="Z168" s="4">
        <v>350000</v>
      </c>
      <c r="AA168" s="4">
        <v>350000</v>
      </c>
    </row>
    <row r="169" spans="1:27" x14ac:dyDescent="0.2">
      <c r="A169" s="135">
        <v>311074300</v>
      </c>
      <c r="B169" s="135">
        <v>3401</v>
      </c>
      <c r="C169" s="135" t="s">
        <v>173</v>
      </c>
      <c r="D169" s="135" t="s">
        <v>1106</v>
      </c>
      <c r="E169" s="136">
        <v>1200</v>
      </c>
      <c r="F169" s="136">
        <v>850</v>
      </c>
      <c r="G169" s="136">
        <v>1200</v>
      </c>
      <c r="H169" s="136">
        <v>750</v>
      </c>
      <c r="I169" s="136">
        <v>1000</v>
      </c>
      <c r="J169" s="137">
        <v>1000</v>
      </c>
      <c r="K169" s="136">
        <v>350</v>
      </c>
      <c r="L169" s="137">
        <v>68000</v>
      </c>
      <c r="M169" s="136">
        <v>0</v>
      </c>
      <c r="N169" s="137">
        <v>20000</v>
      </c>
      <c r="O169" s="136">
        <v>4000</v>
      </c>
      <c r="P169" s="137">
        <v>6000</v>
      </c>
      <c r="Q169" s="136">
        <v>0</v>
      </c>
      <c r="R169" s="137">
        <v>6000</v>
      </c>
      <c r="S169" s="137">
        <v>12770</v>
      </c>
      <c r="T169" s="137">
        <v>6000</v>
      </c>
      <c r="U169" s="193">
        <v>49845</v>
      </c>
      <c r="V169" s="193">
        <v>180280</v>
      </c>
      <c r="W169" s="193">
        <v>259750</v>
      </c>
      <c r="X169" s="137">
        <v>273305</v>
      </c>
      <c r="Y169" s="137">
        <v>402090</v>
      </c>
      <c r="Z169" s="137">
        <v>200000</v>
      </c>
      <c r="AA169" s="137">
        <v>250000</v>
      </c>
    </row>
    <row r="170" spans="1:27" x14ac:dyDescent="0.2">
      <c r="A170" s="60">
        <v>311074980</v>
      </c>
      <c r="B170" s="60">
        <v>3401</v>
      </c>
      <c r="C170" s="60" t="s">
        <v>174</v>
      </c>
      <c r="D170" s="60" t="s">
        <v>1106</v>
      </c>
      <c r="E170" s="63">
        <v>125000</v>
      </c>
      <c r="F170" s="63">
        <v>114552.65</v>
      </c>
      <c r="G170" s="63">
        <v>125000</v>
      </c>
      <c r="H170" s="63">
        <v>141173.45000000001</v>
      </c>
      <c r="I170" s="63">
        <v>53625</v>
      </c>
      <c r="J170" s="4">
        <v>27500</v>
      </c>
      <c r="K170" s="63">
        <v>31163.75</v>
      </c>
      <c r="L170" s="4">
        <v>184355</v>
      </c>
      <c r="M170" s="63">
        <v>0</v>
      </c>
      <c r="N170" s="4">
        <v>31000</v>
      </c>
      <c r="O170" s="63">
        <v>62478.63</v>
      </c>
      <c r="P170" s="4">
        <v>26158.529090909091</v>
      </c>
      <c r="Q170" s="63">
        <v>192272.52</v>
      </c>
      <c r="R170" s="4">
        <v>140000</v>
      </c>
      <c r="S170" s="4">
        <v>247522.37</v>
      </c>
      <c r="T170" s="4">
        <v>179220</v>
      </c>
      <c r="U170" s="192">
        <v>276927.17</v>
      </c>
      <c r="V170" s="192">
        <v>332726.31</v>
      </c>
      <c r="W170" s="192">
        <v>338827</v>
      </c>
      <c r="X170" s="4">
        <v>344262</v>
      </c>
      <c r="Y170" s="4">
        <v>445258</v>
      </c>
      <c r="Z170" s="4">
        <v>325000</v>
      </c>
      <c r="AA170" s="4">
        <v>450000</v>
      </c>
    </row>
    <row r="171" spans="1:27" x14ac:dyDescent="0.2">
      <c r="A171" s="135">
        <v>311074990</v>
      </c>
      <c r="B171" s="135">
        <v>3401</v>
      </c>
      <c r="C171" s="135" t="s">
        <v>1060</v>
      </c>
      <c r="D171" s="135" t="s">
        <v>1106</v>
      </c>
      <c r="E171" s="136">
        <v>25</v>
      </c>
      <c r="F171" s="136">
        <v>136184.99</v>
      </c>
      <c r="G171" s="136">
        <v>25</v>
      </c>
      <c r="H171" s="136">
        <f>40+42993.85</f>
        <v>43033.85</v>
      </c>
      <c r="I171" s="136">
        <v>25</v>
      </c>
      <c r="J171" s="137">
        <v>0</v>
      </c>
      <c r="K171" s="136">
        <f>13119.52+16201.06</f>
        <v>29320.58</v>
      </c>
      <c r="L171" s="137">
        <v>0</v>
      </c>
      <c r="M171" s="136">
        <f>89651.95+2507.68-30393.47</f>
        <v>61766.159999999989</v>
      </c>
      <c r="N171" s="137">
        <v>29671</v>
      </c>
      <c r="O171" s="136">
        <f>34655.15+0</f>
        <v>34655.15</v>
      </c>
      <c r="P171" s="137">
        <v>56938.497818181822</v>
      </c>
      <c r="Q171" s="136">
        <v>-3060.32</v>
      </c>
      <c r="R171" s="137">
        <v>30000</v>
      </c>
      <c r="S171" s="137">
        <f>2810+20667.47+3763.49</f>
        <v>27240.959999999999</v>
      </c>
      <c r="T171" s="137"/>
      <c r="U171" s="193">
        <v>34944.31</v>
      </c>
      <c r="V171" s="193">
        <v>46181.61</v>
      </c>
      <c r="W171" s="193">
        <v>20876</v>
      </c>
      <c r="X171" s="137">
        <f>55+25163</f>
        <v>25218</v>
      </c>
      <c r="Y171" s="137">
        <v>9395</v>
      </c>
      <c r="Z171" s="137">
        <v>30000</v>
      </c>
      <c r="AA171" s="137">
        <v>10000</v>
      </c>
    </row>
    <row r="172" spans="1:27" x14ac:dyDescent="0.2">
      <c r="A172" s="60">
        <v>311078010</v>
      </c>
      <c r="B172" s="60">
        <v>3502</v>
      </c>
      <c r="C172" s="60" t="s">
        <v>1061</v>
      </c>
      <c r="D172" s="60" t="s">
        <v>1106</v>
      </c>
      <c r="E172" s="63">
        <v>125000</v>
      </c>
      <c r="F172" s="63">
        <v>255119.19</v>
      </c>
      <c r="G172" s="63">
        <v>125000</v>
      </c>
      <c r="H172" s="63">
        <v>31185.73</v>
      </c>
      <c r="I172" s="63">
        <v>125000</v>
      </c>
      <c r="J172" s="4">
        <v>50000</v>
      </c>
      <c r="K172" s="63">
        <v>24204.44</v>
      </c>
      <c r="L172" s="4">
        <v>90000</v>
      </c>
      <c r="M172" s="63">
        <v>11856.15</v>
      </c>
      <c r="N172" s="4">
        <v>54723</v>
      </c>
      <c r="O172" s="63">
        <v>17552.490000000002</v>
      </c>
      <c r="P172" s="4">
        <v>36017.682727272717</v>
      </c>
      <c r="Q172" s="63">
        <v>3597.45</v>
      </c>
      <c r="R172" s="4">
        <v>15000</v>
      </c>
      <c r="S172" s="4">
        <v>2210.84</v>
      </c>
      <c r="T172" s="4">
        <v>15000</v>
      </c>
      <c r="U172" s="4">
        <v>33013.839999999997</v>
      </c>
      <c r="V172" s="4">
        <v>60847.93</v>
      </c>
      <c r="W172" s="4">
        <v>56170</v>
      </c>
      <c r="X172" s="4">
        <v>9653</v>
      </c>
      <c r="Y172" s="4">
        <v>10896</v>
      </c>
      <c r="Z172" s="4">
        <v>10000</v>
      </c>
      <c r="AA172" s="4">
        <v>30000</v>
      </c>
    </row>
    <row r="173" spans="1:27" hidden="1" x14ac:dyDescent="0.2">
      <c r="A173" s="60">
        <v>311078240</v>
      </c>
      <c r="B173" s="60">
        <v>3503</v>
      </c>
      <c r="C173" s="60" t="s">
        <v>1062</v>
      </c>
      <c r="D173" s="60" t="s">
        <v>1106</v>
      </c>
      <c r="E173" s="63">
        <v>0</v>
      </c>
      <c r="F173" s="63">
        <v>0</v>
      </c>
      <c r="G173" s="63">
        <v>0</v>
      </c>
      <c r="H173" s="63">
        <v>0</v>
      </c>
      <c r="I173" s="63">
        <v>0</v>
      </c>
      <c r="J173" s="4">
        <v>0</v>
      </c>
      <c r="K173" s="63"/>
      <c r="L173" s="4">
        <v>0</v>
      </c>
      <c r="M173" s="63"/>
      <c r="N173" s="4"/>
      <c r="O173" s="63">
        <v>0</v>
      </c>
      <c r="P173" s="4">
        <v>0</v>
      </c>
      <c r="Q173" s="63"/>
      <c r="R173" s="4"/>
      <c r="S173" s="4"/>
      <c r="T173" s="4"/>
      <c r="U173" s="4">
        <v>0</v>
      </c>
      <c r="V173" s="4"/>
      <c r="W173" s="4"/>
      <c r="X173" s="4"/>
      <c r="Y173" s="4"/>
      <c r="Z173" s="4"/>
      <c r="AA173" s="4"/>
    </row>
    <row r="174" spans="1:27" x14ac:dyDescent="0.2">
      <c r="A174" s="135">
        <v>311078340</v>
      </c>
      <c r="B174" s="135">
        <v>3501</v>
      </c>
      <c r="C174" s="135" t="s">
        <v>522</v>
      </c>
      <c r="D174" s="135" t="s">
        <v>1106</v>
      </c>
      <c r="E174" s="136">
        <v>1500</v>
      </c>
      <c r="F174" s="136">
        <v>574.79999999999995</v>
      </c>
      <c r="G174" s="136">
        <v>1500</v>
      </c>
      <c r="H174" s="136">
        <v>547</v>
      </c>
      <c r="I174" s="136">
        <v>1500</v>
      </c>
      <c r="J174" s="137">
        <v>0</v>
      </c>
      <c r="K174" s="136">
        <v>3350</v>
      </c>
      <c r="L174" s="137">
        <v>0</v>
      </c>
      <c r="M174" s="136">
        <v>1</v>
      </c>
      <c r="N174" s="137">
        <v>3220</v>
      </c>
      <c r="O174" s="136">
        <v>0</v>
      </c>
      <c r="P174" s="137">
        <v>1815.3330909090907</v>
      </c>
      <c r="Q174" s="136"/>
      <c r="R174" s="137"/>
      <c r="S174" s="137">
        <v>1166.55</v>
      </c>
      <c r="T174" s="137"/>
      <c r="U174" s="137">
        <v>1400</v>
      </c>
      <c r="V174" s="137">
        <v>68.89</v>
      </c>
      <c r="W174" s="137">
        <v>0</v>
      </c>
      <c r="X174" s="137">
        <v>2</v>
      </c>
      <c r="Y174" s="137">
        <v>0</v>
      </c>
      <c r="Z174" s="137">
        <v>750</v>
      </c>
      <c r="AA174" s="137">
        <v>750</v>
      </c>
    </row>
    <row r="175" spans="1:27" x14ac:dyDescent="0.2">
      <c r="A175" s="60">
        <v>311079090</v>
      </c>
      <c r="B175" s="60">
        <v>3915</v>
      </c>
      <c r="C175" s="60" t="s">
        <v>232</v>
      </c>
      <c r="D175" s="60" t="s">
        <v>1106</v>
      </c>
      <c r="E175" s="63">
        <v>0</v>
      </c>
      <c r="F175" s="63">
        <v>0</v>
      </c>
      <c r="G175" s="63">
        <v>0</v>
      </c>
      <c r="H175" s="63">
        <v>0</v>
      </c>
      <c r="I175" s="63">
        <v>0</v>
      </c>
      <c r="J175" s="4">
        <v>0</v>
      </c>
      <c r="K175" s="63"/>
      <c r="L175" s="4">
        <v>312500</v>
      </c>
      <c r="M175" s="63">
        <v>56072.15</v>
      </c>
      <c r="N175" s="4">
        <v>320500</v>
      </c>
      <c r="O175" s="63">
        <v>143552</v>
      </c>
      <c r="P175" s="4">
        <v>0</v>
      </c>
      <c r="Q175" s="63"/>
      <c r="R175" s="4">
        <v>161500</v>
      </c>
      <c r="S175" s="4">
        <v>163010.5</v>
      </c>
      <c r="T175" s="4">
        <v>101000</v>
      </c>
      <c r="U175" s="4">
        <v>536281.80000000005</v>
      </c>
      <c r="V175" s="4">
        <v>403762.73</v>
      </c>
      <c r="W175" s="4">
        <v>353379</v>
      </c>
      <c r="X175" s="4">
        <v>4395</v>
      </c>
      <c r="Y175" s="4">
        <v>423054</v>
      </c>
      <c r="Z175" s="4">
        <v>0</v>
      </c>
      <c r="AA175" s="4">
        <v>0</v>
      </c>
    </row>
    <row r="176" spans="1:27" x14ac:dyDescent="0.2">
      <c r="A176" s="135">
        <v>311079210</v>
      </c>
      <c r="B176" s="135">
        <v>3401</v>
      </c>
      <c r="C176" s="135" t="s">
        <v>5</v>
      </c>
      <c r="D176" s="135" t="s">
        <v>1106</v>
      </c>
      <c r="E176" s="136">
        <v>-670468</v>
      </c>
      <c r="F176" s="136">
        <v>4739373.79</v>
      </c>
      <c r="G176" s="136">
        <v>-417968</v>
      </c>
      <c r="H176" s="136">
        <v>152605.16</v>
      </c>
      <c r="I176" s="136">
        <v>-957039</v>
      </c>
      <c r="J176" s="137">
        <v>222017</v>
      </c>
      <c r="K176" s="136">
        <v>-113932.75</v>
      </c>
      <c r="L176" s="137">
        <f>-46623-33319</f>
        <v>-79942</v>
      </c>
      <c r="M176" s="136">
        <v>528353</v>
      </c>
      <c r="N176" s="137">
        <v>759688</v>
      </c>
      <c r="O176" s="136">
        <v>439978.93</v>
      </c>
      <c r="P176" s="137">
        <v>232927</v>
      </c>
      <c r="Q176" s="136">
        <v>-174281.65</v>
      </c>
      <c r="R176" s="137">
        <v>-8113</v>
      </c>
      <c r="S176" s="137">
        <v>112903.82</v>
      </c>
      <c r="T176" s="137">
        <v>228779</v>
      </c>
      <c r="U176" s="137">
        <v>-271532</v>
      </c>
      <c r="V176" s="137">
        <v>-762353.15</v>
      </c>
      <c r="W176" s="137">
        <v>-1004314</v>
      </c>
      <c r="X176" s="137">
        <v>-67351</v>
      </c>
      <c r="Y176" s="137">
        <v>-1669230</v>
      </c>
      <c r="Z176" s="137">
        <f>-881169+445055+2566</f>
        <v>-433548</v>
      </c>
      <c r="AA176" s="137">
        <f>-1502375+550000+703+7034+59980</f>
        <v>-884658</v>
      </c>
    </row>
    <row r="177" spans="1:30" x14ac:dyDescent="0.2">
      <c r="A177" s="60">
        <v>312772290</v>
      </c>
      <c r="B177" s="60">
        <v>3359</v>
      </c>
      <c r="C177" s="60" t="s">
        <v>390</v>
      </c>
      <c r="D177" s="60" t="s">
        <v>287</v>
      </c>
      <c r="E177" s="63">
        <v>72452</v>
      </c>
      <c r="F177" s="63">
        <v>72451.48</v>
      </c>
      <c r="G177" s="63">
        <v>72452</v>
      </c>
      <c r="H177" s="63">
        <v>72451</v>
      </c>
      <c r="I177" s="63">
        <v>72452</v>
      </c>
      <c r="J177" s="4">
        <v>72451</v>
      </c>
      <c r="K177" s="63">
        <v>72451</v>
      </c>
      <c r="L177" s="4">
        <f>33319+72452</f>
        <v>105771</v>
      </c>
      <c r="M177" s="63">
        <v>72451</v>
      </c>
      <c r="N177" s="4">
        <v>72451</v>
      </c>
      <c r="O177" s="63">
        <v>72452</v>
      </c>
      <c r="P177" s="4">
        <v>72451</v>
      </c>
      <c r="Q177" s="63">
        <v>72451</v>
      </c>
      <c r="R177" s="4">
        <v>72451</v>
      </c>
      <c r="S177" s="4">
        <v>117299</v>
      </c>
      <c r="T177" s="4">
        <v>72452</v>
      </c>
      <c r="U177" s="4">
        <v>125356</v>
      </c>
      <c r="V177" s="4">
        <v>79711</v>
      </c>
      <c r="W177" s="4">
        <v>78536</v>
      </c>
      <c r="X177" s="4">
        <f>20+273504</f>
        <v>273524</v>
      </c>
      <c r="Y177" s="4">
        <v>170759</v>
      </c>
      <c r="Z177" s="4">
        <v>168193</v>
      </c>
      <c r="AA177" s="4">
        <v>165628</v>
      </c>
    </row>
    <row r="178" spans="1:30" ht="15" x14ac:dyDescent="0.35">
      <c r="A178" s="135">
        <v>312778240</v>
      </c>
      <c r="B178" s="135">
        <v>3503</v>
      </c>
      <c r="C178" s="135" t="s">
        <v>1062</v>
      </c>
      <c r="D178" s="135" t="s">
        <v>287</v>
      </c>
      <c r="E178" s="254">
        <v>3215</v>
      </c>
      <c r="F178" s="254">
        <v>3215.47</v>
      </c>
      <c r="G178" s="254">
        <v>3215</v>
      </c>
      <c r="H178" s="254">
        <v>3215.47</v>
      </c>
      <c r="I178" s="254">
        <v>3215</v>
      </c>
      <c r="J178" s="255">
        <v>3215</v>
      </c>
      <c r="K178" s="254">
        <v>3215.17</v>
      </c>
      <c r="L178" s="255">
        <v>3215</v>
      </c>
      <c r="M178" s="254">
        <v>3215.47</v>
      </c>
      <c r="N178" s="255">
        <v>3215</v>
      </c>
      <c r="O178" s="254">
        <v>3215.47</v>
      </c>
      <c r="P178" s="255">
        <v>3215.47</v>
      </c>
      <c r="Q178" s="254">
        <v>3215.47</v>
      </c>
      <c r="R178" s="137">
        <v>3215</v>
      </c>
      <c r="S178" s="256">
        <v>3215.47</v>
      </c>
      <c r="T178" s="256">
        <v>3215</v>
      </c>
      <c r="U178" s="256">
        <v>10770.46</v>
      </c>
      <c r="V178" s="256">
        <v>9594.2000000000007</v>
      </c>
      <c r="W178" s="256">
        <v>0</v>
      </c>
      <c r="X178" s="256">
        <v>0</v>
      </c>
      <c r="Y178" s="256">
        <v>0</v>
      </c>
      <c r="Z178" s="256">
        <v>0</v>
      </c>
      <c r="AA178" s="256">
        <v>0</v>
      </c>
    </row>
    <row r="179" spans="1:30" x14ac:dyDescent="0.2">
      <c r="A179" s="60"/>
      <c r="B179" s="60"/>
      <c r="C179" s="60" t="s">
        <v>1904</v>
      </c>
      <c r="D179" s="60"/>
      <c r="E179" s="63">
        <f>SUM(E155:E178)</f>
        <v>3459374</v>
      </c>
      <c r="F179" s="63">
        <f t="shared" ref="F179:Y179" si="5">SUM(F155:F178)</f>
        <v>8962133.0300000012</v>
      </c>
      <c r="G179" s="63">
        <f t="shared" si="5"/>
        <v>3711874</v>
      </c>
      <c r="H179" s="63">
        <f t="shared" si="5"/>
        <v>3897505.5000000005</v>
      </c>
      <c r="I179" s="63">
        <f t="shared" si="5"/>
        <v>4474268</v>
      </c>
      <c r="J179" s="63">
        <f t="shared" si="5"/>
        <v>3492883</v>
      </c>
      <c r="K179" s="63">
        <f t="shared" si="5"/>
        <v>3580667.78</v>
      </c>
      <c r="L179" s="63">
        <f t="shared" si="5"/>
        <v>4423152</v>
      </c>
      <c r="M179" s="63">
        <f t="shared" si="5"/>
        <v>4061256.8800000004</v>
      </c>
      <c r="N179" s="63">
        <f t="shared" si="5"/>
        <v>4458484</v>
      </c>
      <c r="O179" s="63">
        <f t="shared" si="5"/>
        <v>4007270.0100000002</v>
      </c>
      <c r="P179" s="63">
        <f t="shared" si="5"/>
        <v>3942920.1354545453</v>
      </c>
      <c r="Q179" s="63">
        <f t="shared" si="5"/>
        <v>3778389.1700000009</v>
      </c>
      <c r="R179" s="63">
        <f t="shared" si="5"/>
        <v>4163473</v>
      </c>
      <c r="S179" s="63">
        <f t="shared" si="5"/>
        <v>4089131.2099999995</v>
      </c>
      <c r="T179" s="63">
        <f t="shared" si="5"/>
        <v>4118398</v>
      </c>
      <c r="U179" s="63">
        <f t="shared" ref="U179:X179" si="6">SUM(U155:U178)</f>
        <v>4994909.5199999996</v>
      </c>
      <c r="V179" s="63">
        <f t="shared" si="6"/>
        <v>4886129.4999999991</v>
      </c>
      <c r="W179" s="63">
        <f t="shared" si="6"/>
        <v>5004967</v>
      </c>
      <c r="X179" s="527">
        <f t="shared" si="6"/>
        <v>5850927</v>
      </c>
      <c r="Y179" s="527">
        <f t="shared" si="5"/>
        <v>5152967</v>
      </c>
      <c r="Z179" s="527">
        <f>SUM(Z155:Z178)</f>
        <v>5143284</v>
      </c>
      <c r="AA179" s="527">
        <f>SUM(AA155:AA178)</f>
        <v>5433320</v>
      </c>
      <c r="AB179" s="3">
        <f>+AA179-'SUMMARY BY FUND'!H34-'SUMMARY BY FUND'!H45+AA234</f>
        <v>5433320</v>
      </c>
    </row>
    <row r="180" spans="1:30" x14ac:dyDescent="0.2">
      <c r="A180" s="62"/>
      <c r="B180" s="62"/>
      <c r="C180" s="62"/>
      <c r="D180" s="62"/>
      <c r="E180" s="62"/>
      <c r="F180" s="62"/>
      <c r="G180" s="62"/>
      <c r="H180" s="62"/>
      <c r="I180" s="257"/>
      <c r="J180" s="62"/>
      <c r="K180" s="257"/>
      <c r="L180" s="62"/>
      <c r="M180" s="257"/>
      <c r="N180" s="4"/>
      <c r="O180" s="63"/>
      <c r="P180" s="4"/>
      <c r="Q180" s="63"/>
      <c r="R180" s="4"/>
      <c r="S180" s="4"/>
      <c r="T180" s="4"/>
      <c r="U180" s="4"/>
      <c r="V180" s="4"/>
      <c r="W180" s="4"/>
      <c r="X180" s="4"/>
      <c r="Y180" s="4"/>
      <c r="Z180" s="4"/>
      <c r="AA180" s="4"/>
      <c r="AD180" s="3">
        <f>+Z179-'SUMMARY BY FUND'!D34-'SUMMARY BY FUND'!D45</f>
        <v>-10102750</v>
      </c>
    </row>
    <row r="181" spans="1:30" x14ac:dyDescent="0.2">
      <c r="A181" s="568" t="s">
        <v>1906</v>
      </c>
      <c r="B181" s="568"/>
      <c r="C181" s="568"/>
      <c r="D181" s="568"/>
      <c r="E181" s="568"/>
      <c r="F181" s="568"/>
      <c r="G181" s="568"/>
      <c r="H181" s="568"/>
      <c r="I181" s="568"/>
      <c r="J181" s="568"/>
      <c r="K181" s="568"/>
      <c r="L181" s="568"/>
      <c r="M181" s="568"/>
      <c r="N181" s="568"/>
      <c r="O181" s="258"/>
      <c r="P181" s="238"/>
      <c r="Q181" s="258"/>
      <c r="R181" s="238"/>
      <c r="S181" s="259"/>
      <c r="T181" s="259"/>
      <c r="U181" s="259"/>
      <c r="V181" s="4"/>
      <c r="W181" s="4"/>
      <c r="X181" s="4"/>
      <c r="Y181" s="4"/>
      <c r="Z181" s="4"/>
      <c r="AA181" s="4"/>
    </row>
    <row r="182" spans="1:30" s="9" customFormat="1" ht="13.5" thickBot="1" x14ac:dyDescent="0.25">
      <c r="A182" s="238"/>
      <c r="B182" s="238"/>
      <c r="C182" s="238"/>
      <c r="D182" s="238"/>
      <c r="E182" s="238"/>
      <c r="F182" s="238"/>
      <c r="G182" s="238"/>
      <c r="H182" s="238"/>
      <c r="I182" s="258"/>
      <c r="J182" s="238"/>
      <c r="K182" s="258"/>
      <c r="L182" s="238"/>
      <c r="M182" s="258"/>
      <c r="N182" s="4"/>
      <c r="O182" s="63"/>
      <c r="P182" s="4"/>
      <c r="Q182" s="63"/>
      <c r="R182" s="4"/>
      <c r="S182" s="4"/>
      <c r="T182" s="4"/>
      <c r="U182" s="4"/>
      <c r="V182" s="4"/>
      <c r="W182" s="4"/>
      <c r="X182" s="4"/>
      <c r="Y182" s="4"/>
      <c r="Z182" s="49"/>
      <c r="AA182" s="49"/>
    </row>
    <row r="183" spans="1:30" s="23" customFormat="1" x14ac:dyDescent="0.2">
      <c r="A183" s="248" t="s">
        <v>418</v>
      </c>
      <c r="B183" s="248"/>
      <c r="C183" s="248" t="s">
        <v>418</v>
      </c>
      <c r="D183" s="248" t="s">
        <v>418</v>
      </c>
      <c r="E183" s="248" t="s">
        <v>864</v>
      </c>
      <c r="F183" s="248" t="s">
        <v>864</v>
      </c>
      <c r="G183" s="248" t="s">
        <v>545</v>
      </c>
      <c r="H183" s="248" t="s">
        <v>545</v>
      </c>
      <c r="I183" s="133" t="s">
        <v>24</v>
      </c>
      <c r="J183" s="248" t="s">
        <v>903</v>
      </c>
      <c r="K183" s="133" t="s">
        <v>903</v>
      </c>
      <c r="L183" s="248" t="str">
        <f>+L5</f>
        <v>2009-10</v>
      </c>
      <c r="M183" s="133" t="s">
        <v>584</v>
      </c>
      <c r="N183" s="74" t="s">
        <v>402</v>
      </c>
      <c r="O183" s="133" t="s">
        <v>402</v>
      </c>
      <c r="P183" s="74" t="s">
        <v>826</v>
      </c>
      <c r="Q183" s="133" t="s">
        <v>826</v>
      </c>
      <c r="R183" s="248" t="s">
        <v>1594</v>
      </c>
      <c r="S183" s="73" t="s">
        <v>82</v>
      </c>
      <c r="T183" s="74" t="s">
        <v>82</v>
      </c>
      <c r="U183" s="279" t="s">
        <v>1785</v>
      </c>
      <c r="V183" s="279" t="s">
        <v>1918</v>
      </c>
      <c r="W183" s="279" t="s">
        <v>2003</v>
      </c>
      <c r="X183" s="279" t="s">
        <v>2084</v>
      </c>
      <c r="Y183" s="279" t="s">
        <v>2163</v>
      </c>
      <c r="Z183" s="357" t="s">
        <v>2290</v>
      </c>
      <c r="AA183" s="357" t="s">
        <v>2507</v>
      </c>
    </row>
    <row r="184" spans="1:30" s="23" customFormat="1" x14ac:dyDescent="0.2">
      <c r="A184" s="249" t="s">
        <v>837</v>
      </c>
      <c r="B184" s="249"/>
      <c r="C184" s="249" t="s">
        <v>279</v>
      </c>
      <c r="D184" s="249" t="s">
        <v>1444</v>
      </c>
      <c r="E184" s="249" t="s">
        <v>251</v>
      </c>
      <c r="F184" s="249" t="s">
        <v>250</v>
      </c>
      <c r="G184" s="249" t="s">
        <v>251</v>
      </c>
      <c r="H184" s="249" t="s">
        <v>250</v>
      </c>
      <c r="I184" s="250" t="s">
        <v>251</v>
      </c>
      <c r="J184" s="250" t="s">
        <v>251</v>
      </c>
      <c r="K184" s="250" t="s">
        <v>250</v>
      </c>
      <c r="L184" s="250" t="str">
        <f>+L154</f>
        <v>Budget</v>
      </c>
      <c r="M184" s="250" t="s">
        <v>250</v>
      </c>
      <c r="N184" s="250" t="s">
        <v>251</v>
      </c>
      <c r="O184" s="250" t="s">
        <v>250</v>
      </c>
      <c r="P184" s="250" t="s">
        <v>251</v>
      </c>
      <c r="Q184" s="250" t="s">
        <v>250</v>
      </c>
      <c r="R184" s="250" t="s">
        <v>251</v>
      </c>
      <c r="S184" s="251" t="s">
        <v>250</v>
      </c>
      <c r="T184" s="252" t="s">
        <v>251</v>
      </c>
      <c r="U184" s="251" t="s">
        <v>250</v>
      </c>
      <c r="V184" s="251" t="s">
        <v>250</v>
      </c>
      <c r="W184" s="251" t="s">
        <v>250</v>
      </c>
      <c r="X184" s="251" t="s">
        <v>250</v>
      </c>
      <c r="Y184" s="251" t="s">
        <v>250</v>
      </c>
      <c r="Z184" s="358" t="s">
        <v>251</v>
      </c>
      <c r="AA184" s="358" t="s">
        <v>251</v>
      </c>
    </row>
    <row r="185" spans="1:30" s="23" customFormat="1" x14ac:dyDescent="0.2">
      <c r="A185" s="135">
        <v>320171200</v>
      </c>
      <c r="B185" s="135">
        <v>3189</v>
      </c>
      <c r="C185" s="135" t="s">
        <v>175</v>
      </c>
      <c r="D185" s="135" t="s">
        <v>169</v>
      </c>
      <c r="E185" s="136">
        <v>305000</v>
      </c>
      <c r="F185" s="136">
        <v>329127.34999999998</v>
      </c>
      <c r="G185" s="136">
        <v>305000</v>
      </c>
      <c r="H185" s="136">
        <v>201000</v>
      </c>
      <c r="I185" s="136">
        <v>305000</v>
      </c>
      <c r="J185" s="137">
        <v>60000</v>
      </c>
      <c r="K185" s="136">
        <v>140229.07</v>
      </c>
      <c r="L185" s="137">
        <v>247500</v>
      </c>
      <c r="M185" s="136">
        <v>289714.87</v>
      </c>
      <c r="N185" s="137">
        <v>280000</v>
      </c>
      <c r="O185" s="136">
        <v>345075.06</v>
      </c>
      <c r="P185" s="137">
        <v>300000</v>
      </c>
      <c r="Q185" s="136">
        <v>321070.40000000002</v>
      </c>
      <c r="R185" s="137">
        <v>300000</v>
      </c>
      <c r="S185" s="137">
        <v>243003.99</v>
      </c>
      <c r="T185" s="137">
        <v>272000</v>
      </c>
      <c r="U185" s="137">
        <v>205456.29</v>
      </c>
      <c r="V185" s="137">
        <v>139682.73000000001</v>
      </c>
      <c r="W185" s="137">
        <v>133398</v>
      </c>
      <c r="X185" s="137">
        <v>134415</v>
      </c>
      <c r="Y185" s="137">
        <v>146240</v>
      </c>
      <c r="Z185" s="137">
        <v>400000</v>
      </c>
      <c r="AA185" s="137">
        <v>400000</v>
      </c>
    </row>
    <row r="186" spans="1:30" s="32" customFormat="1" x14ac:dyDescent="0.2">
      <c r="A186" s="60">
        <v>320174990</v>
      </c>
      <c r="B186" s="60">
        <v>3401</v>
      </c>
      <c r="C186" s="60" t="s">
        <v>176</v>
      </c>
      <c r="D186" s="60" t="s">
        <v>169</v>
      </c>
      <c r="E186" s="63">
        <v>2000</v>
      </c>
      <c r="F186" s="63">
        <v>440</v>
      </c>
      <c r="G186" s="63">
        <v>2000</v>
      </c>
      <c r="H186" s="63">
        <v>0</v>
      </c>
      <c r="I186" s="63">
        <v>1500</v>
      </c>
      <c r="J186" s="4">
        <v>1500</v>
      </c>
      <c r="K186" s="63">
        <v>0</v>
      </c>
      <c r="L186" s="4">
        <v>1500</v>
      </c>
      <c r="M186" s="63">
        <v>154.91999999999999</v>
      </c>
      <c r="N186" s="4"/>
      <c r="O186" s="63">
        <v>11609</v>
      </c>
      <c r="P186" s="4">
        <v>64</v>
      </c>
      <c r="Q186" s="63">
        <v>3154.65</v>
      </c>
      <c r="R186" s="4">
        <v>64</v>
      </c>
      <c r="S186" s="4">
        <v>75</v>
      </c>
      <c r="T186" s="4">
        <v>3000</v>
      </c>
      <c r="U186" s="4">
        <v>0</v>
      </c>
      <c r="V186" s="4">
        <v>0</v>
      </c>
      <c r="W186" s="4">
        <v>0</v>
      </c>
      <c r="X186" s="74"/>
      <c r="Y186" s="74"/>
      <c r="Z186" s="74">
        <v>0</v>
      </c>
      <c r="AA186" s="74">
        <v>0</v>
      </c>
    </row>
    <row r="187" spans="1:30" s="32" customFormat="1" x14ac:dyDescent="0.2">
      <c r="A187" s="135">
        <v>320178010</v>
      </c>
      <c r="B187" s="135">
        <v>3502</v>
      </c>
      <c r="C187" s="135" t="s">
        <v>1061</v>
      </c>
      <c r="D187" s="135" t="s">
        <v>169</v>
      </c>
      <c r="E187" s="136">
        <v>8500</v>
      </c>
      <c r="F187" s="136">
        <v>21121.599999999999</v>
      </c>
      <c r="G187" s="136">
        <v>8500</v>
      </c>
      <c r="H187" s="136">
        <v>28389.88</v>
      </c>
      <c r="I187" s="136">
        <v>9000</v>
      </c>
      <c r="J187" s="137">
        <v>30000</v>
      </c>
      <c r="K187" s="136">
        <v>8588.9699999999993</v>
      </c>
      <c r="L187" s="137">
        <v>20000</v>
      </c>
      <c r="M187" s="136">
        <v>4087.04</v>
      </c>
      <c r="N187" s="137">
        <v>10000</v>
      </c>
      <c r="O187" s="136">
        <v>2008.66</v>
      </c>
      <c r="P187" s="137">
        <v>4000</v>
      </c>
      <c r="Q187" s="136">
        <v>1164.1099999999999</v>
      </c>
      <c r="R187" s="137">
        <v>3500</v>
      </c>
      <c r="S187" s="137">
        <v>749.75</v>
      </c>
      <c r="T187" s="137">
        <v>1200</v>
      </c>
      <c r="U187" s="137">
        <v>9970.19</v>
      </c>
      <c r="V187" s="137">
        <v>14819.52</v>
      </c>
      <c r="W187" s="137">
        <v>8077</v>
      </c>
      <c r="X187" s="149">
        <v>837</v>
      </c>
      <c r="Y187" s="149">
        <v>467</v>
      </c>
      <c r="Z187" s="149">
        <v>1000</v>
      </c>
      <c r="AA187" s="149">
        <v>1200</v>
      </c>
    </row>
    <row r="188" spans="1:30" hidden="1" x14ac:dyDescent="0.2">
      <c r="A188" s="60">
        <v>320178240</v>
      </c>
      <c r="B188" s="60">
        <v>3503</v>
      </c>
      <c r="C188" s="60" t="s">
        <v>1062</v>
      </c>
      <c r="D188" s="60" t="s">
        <v>169</v>
      </c>
      <c r="E188" s="63">
        <v>0</v>
      </c>
      <c r="F188" s="63">
        <v>0</v>
      </c>
      <c r="G188" s="63">
        <v>0</v>
      </c>
      <c r="H188" s="63">
        <v>0</v>
      </c>
      <c r="I188" s="63">
        <v>0</v>
      </c>
      <c r="J188" s="4">
        <v>0</v>
      </c>
      <c r="K188" s="63">
        <v>0</v>
      </c>
      <c r="L188" s="4">
        <v>0</v>
      </c>
      <c r="M188" s="63"/>
      <c r="N188" s="4"/>
      <c r="O188" s="63">
        <v>0</v>
      </c>
      <c r="P188" s="4">
        <v>0</v>
      </c>
      <c r="Q188" s="63">
        <v>0</v>
      </c>
      <c r="R188" s="4">
        <v>0</v>
      </c>
      <c r="S188" s="4"/>
      <c r="T188" s="4">
        <v>0</v>
      </c>
      <c r="U188" s="4"/>
      <c r="V188" s="4"/>
      <c r="W188" s="4"/>
      <c r="X188" s="4"/>
      <c r="Y188" s="4"/>
      <c r="Z188" s="4"/>
      <c r="AA188" s="4"/>
    </row>
    <row r="189" spans="1:30" ht="15" x14ac:dyDescent="0.35">
      <c r="A189" s="60">
        <v>320179210</v>
      </c>
      <c r="B189" s="60">
        <v>3401</v>
      </c>
      <c r="C189" s="60" t="s">
        <v>5</v>
      </c>
      <c r="D189" s="60" t="s">
        <v>169</v>
      </c>
      <c r="E189" s="261">
        <v>-95901</v>
      </c>
      <c r="F189" s="261">
        <v>-94010.240000000005</v>
      </c>
      <c r="G189" s="261">
        <v>-90259</v>
      </c>
      <c r="H189" s="261">
        <v>-57966.45</v>
      </c>
      <c r="I189" s="261">
        <v>-34017</v>
      </c>
      <c r="J189" s="72">
        <f>300000-24260</f>
        <v>275740</v>
      </c>
      <c r="K189" s="261">
        <v>174660.22</v>
      </c>
      <c r="L189" s="72">
        <v>23449</v>
      </c>
      <c r="M189" s="261">
        <f>-293956.83+239865.28</f>
        <v>-54091.550000000017</v>
      </c>
      <c r="N189" s="72">
        <v>247177</v>
      </c>
      <c r="O189" s="261">
        <f>0.27+243161.28</f>
        <v>243161.55</v>
      </c>
      <c r="P189" s="72">
        <v>9239</v>
      </c>
      <c r="Q189" s="261">
        <v>-28061.43</v>
      </c>
      <c r="R189" s="72">
        <v>1675</v>
      </c>
      <c r="S189" s="72">
        <v>44974.879999999997</v>
      </c>
      <c r="T189" s="72">
        <v>2811</v>
      </c>
      <c r="U189" s="72">
        <v>-2387</v>
      </c>
      <c r="V189" s="72">
        <v>127491</v>
      </c>
      <c r="W189" s="72">
        <v>153670</v>
      </c>
      <c r="X189" s="33">
        <v>193686</v>
      </c>
      <c r="Y189" s="33">
        <v>179401</v>
      </c>
      <c r="Z189" s="33">
        <v>-18732</v>
      </c>
      <c r="AA189" s="33">
        <f>-18732+4878-750-7000+7079</f>
        <v>-14525</v>
      </c>
    </row>
    <row r="190" spans="1:30" x14ac:dyDescent="0.2">
      <c r="A190" s="60"/>
      <c r="B190" s="60"/>
      <c r="C190" s="60" t="s">
        <v>1905</v>
      </c>
      <c r="D190" s="60"/>
      <c r="E190" s="63" t="e">
        <f>#N/A</f>
        <v>#N/A</v>
      </c>
      <c r="F190" s="63" t="e">
        <f>#N/A</f>
        <v>#N/A</v>
      </c>
      <c r="G190" s="63" t="e">
        <f>#N/A</f>
        <v>#N/A</v>
      </c>
      <c r="H190" s="63" t="e">
        <f>#N/A</f>
        <v>#N/A</v>
      </c>
      <c r="I190" s="63" t="e">
        <f>#N/A</f>
        <v>#N/A</v>
      </c>
      <c r="J190" s="63" t="e">
        <f>#N/A</f>
        <v>#N/A</v>
      </c>
      <c r="K190" s="63" t="e">
        <f>#N/A</f>
        <v>#N/A</v>
      </c>
      <c r="L190" s="63" t="e">
        <f>#N/A</f>
        <v>#N/A</v>
      </c>
      <c r="M190" s="63" t="e">
        <f>#N/A</f>
        <v>#N/A</v>
      </c>
      <c r="N190" s="63" t="e">
        <f>#N/A</f>
        <v>#N/A</v>
      </c>
      <c r="O190" s="63">
        <f t="shared" ref="O190:Y190" si="7">SUM(O185:O189)</f>
        <v>601854.27</v>
      </c>
      <c r="P190" s="63">
        <f t="shared" si="7"/>
        <v>313303</v>
      </c>
      <c r="Q190" s="63">
        <f t="shared" si="7"/>
        <v>297327.73000000004</v>
      </c>
      <c r="R190" s="63">
        <f t="shared" si="7"/>
        <v>305239</v>
      </c>
      <c r="S190" s="4">
        <f t="shared" si="7"/>
        <v>288803.62</v>
      </c>
      <c r="T190" s="4">
        <f t="shared" si="7"/>
        <v>279011</v>
      </c>
      <c r="U190" s="4">
        <f t="shared" ref="U190:X190" si="8">SUM(U185:U189)</f>
        <v>213039.48</v>
      </c>
      <c r="V190" s="4">
        <f t="shared" si="8"/>
        <v>281993.25</v>
      </c>
      <c r="W190" s="4">
        <f t="shared" si="8"/>
        <v>295145</v>
      </c>
      <c r="X190" s="4">
        <f t="shared" si="8"/>
        <v>328938</v>
      </c>
      <c r="Y190" s="4">
        <f t="shared" si="7"/>
        <v>326108</v>
      </c>
      <c r="Z190" s="4">
        <f>SUM(Z185:Z189)</f>
        <v>382268</v>
      </c>
      <c r="AA190" s="4">
        <f>SUM(AA185:AA189)</f>
        <v>386675</v>
      </c>
      <c r="AB190" s="3">
        <f>+AA190-'SUMMARY BY FUND'!H36</f>
        <v>386675</v>
      </c>
      <c r="AD190" s="3">
        <f>+Z190-'SUMMARY BY FUND'!D36</f>
        <v>0</v>
      </c>
    </row>
    <row r="191" spans="1:30" x14ac:dyDescent="0.2">
      <c r="A191" s="262"/>
      <c r="B191" s="262"/>
      <c r="C191" s="262"/>
      <c r="D191" s="262"/>
      <c r="E191" s="262"/>
      <c r="F191" s="262"/>
      <c r="G191" s="262"/>
      <c r="H191" s="262"/>
      <c r="I191" s="263"/>
      <c r="J191" s="262"/>
      <c r="K191" s="263"/>
      <c r="L191" s="262"/>
      <c r="M191" s="263"/>
      <c r="N191" s="4"/>
      <c r="O191" s="63"/>
      <c r="P191" s="4"/>
      <c r="Q191" s="63"/>
      <c r="R191" s="4"/>
      <c r="S191" s="4"/>
      <c r="T191" s="4"/>
      <c r="U191" s="4"/>
      <c r="V191" s="4"/>
      <c r="W191" s="4"/>
      <c r="X191" s="4"/>
      <c r="Y191" s="4"/>
      <c r="Z191" s="4"/>
      <c r="AA191" s="4"/>
    </row>
    <row r="192" spans="1:30" x14ac:dyDescent="0.2">
      <c r="A192" s="568" t="s">
        <v>1064</v>
      </c>
      <c r="B192" s="568"/>
      <c r="C192" s="568"/>
      <c r="D192" s="568"/>
      <c r="E192" s="568"/>
      <c r="F192" s="568"/>
      <c r="G192" s="568"/>
      <c r="H192" s="568"/>
      <c r="I192" s="568"/>
      <c r="J192" s="568"/>
      <c r="K192" s="568"/>
      <c r="L192" s="568"/>
      <c r="M192" s="568"/>
      <c r="N192" s="568"/>
      <c r="O192" s="258"/>
      <c r="P192" s="238"/>
      <c r="Q192" s="258"/>
      <c r="R192" s="238"/>
      <c r="S192" s="259"/>
      <c r="T192" s="259"/>
      <c r="U192" s="259"/>
      <c r="V192" s="4"/>
      <c r="W192" s="4"/>
      <c r="X192" s="4"/>
      <c r="Y192" s="4"/>
      <c r="Z192" s="4"/>
      <c r="AA192" s="4"/>
    </row>
    <row r="193" spans="1:30" ht="13.5" thickBot="1" x14ac:dyDescent="0.25">
      <c r="A193" s="262"/>
      <c r="B193" s="262"/>
      <c r="C193" s="262"/>
      <c r="D193" s="262"/>
      <c r="E193" s="262"/>
      <c r="F193" s="262"/>
      <c r="G193" s="262"/>
      <c r="H193" s="262"/>
      <c r="I193" s="263"/>
      <c r="J193" s="262"/>
      <c r="K193" s="263"/>
      <c r="L193" s="262"/>
      <c r="M193" s="263"/>
      <c r="N193" s="4"/>
      <c r="O193" s="63"/>
      <c r="P193" s="4"/>
      <c r="Q193" s="63"/>
      <c r="R193" s="4"/>
      <c r="S193" s="4"/>
      <c r="T193" s="4"/>
      <c r="U193" s="4"/>
      <c r="V193" s="4"/>
      <c r="W193" s="4"/>
      <c r="X193" s="4"/>
      <c r="Y193" s="4"/>
      <c r="Z193" s="4"/>
      <c r="AA193" s="4"/>
    </row>
    <row r="194" spans="1:30" x14ac:dyDescent="0.2">
      <c r="A194" s="248" t="s">
        <v>418</v>
      </c>
      <c r="B194" s="248"/>
      <c r="C194" s="248" t="s">
        <v>418</v>
      </c>
      <c r="D194" s="248" t="s">
        <v>418</v>
      </c>
      <c r="E194" s="248" t="s">
        <v>864</v>
      </c>
      <c r="F194" s="248" t="s">
        <v>864</v>
      </c>
      <c r="G194" s="248" t="s">
        <v>545</v>
      </c>
      <c r="H194" s="248" t="s">
        <v>545</v>
      </c>
      <c r="I194" s="133" t="s">
        <v>24</v>
      </c>
      <c r="J194" s="248" t="s">
        <v>903</v>
      </c>
      <c r="K194" s="133" t="s">
        <v>903</v>
      </c>
      <c r="L194" s="248" t="str">
        <f>+L183</f>
        <v>2009-10</v>
      </c>
      <c r="M194" s="133" t="s">
        <v>584</v>
      </c>
      <c r="N194" s="74" t="s">
        <v>402</v>
      </c>
      <c r="O194" s="133" t="s">
        <v>402</v>
      </c>
      <c r="P194" s="74" t="s">
        <v>826</v>
      </c>
      <c r="Q194" s="133" t="s">
        <v>826</v>
      </c>
      <c r="R194" s="248" t="s">
        <v>1594</v>
      </c>
      <c r="S194" s="73" t="s">
        <v>82</v>
      </c>
      <c r="T194" s="74" t="s">
        <v>82</v>
      </c>
      <c r="U194" s="279" t="s">
        <v>1785</v>
      </c>
      <c r="V194" s="279" t="s">
        <v>1918</v>
      </c>
      <c r="W194" s="279" t="s">
        <v>2003</v>
      </c>
      <c r="X194" s="279" t="s">
        <v>2084</v>
      </c>
      <c r="Y194" s="279" t="s">
        <v>2163</v>
      </c>
      <c r="Z194" s="357" t="s">
        <v>2290</v>
      </c>
      <c r="AA194" s="357" t="s">
        <v>2507</v>
      </c>
    </row>
    <row r="195" spans="1:30" x14ac:dyDescent="0.2">
      <c r="A195" s="249" t="s">
        <v>837</v>
      </c>
      <c r="B195" s="249"/>
      <c r="C195" s="249" t="s">
        <v>279</v>
      </c>
      <c r="D195" s="249" t="s">
        <v>1444</v>
      </c>
      <c r="E195" s="249" t="s">
        <v>251</v>
      </c>
      <c r="F195" s="249" t="s">
        <v>250</v>
      </c>
      <c r="G195" s="249" t="s">
        <v>251</v>
      </c>
      <c r="H195" s="249" t="s">
        <v>250</v>
      </c>
      <c r="I195" s="250" t="s">
        <v>251</v>
      </c>
      <c r="J195" s="250" t="s">
        <v>251</v>
      </c>
      <c r="K195" s="250" t="s">
        <v>250</v>
      </c>
      <c r="L195" s="250" t="str">
        <f>+L184</f>
        <v>Budget</v>
      </c>
      <c r="M195" s="250" t="s">
        <v>250</v>
      </c>
      <c r="N195" s="250" t="s">
        <v>251</v>
      </c>
      <c r="O195" s="250" t="s">
        <v>250</v>
      </c>
      <c r="P195" s="250" t="s">
        <v>251</v>
      </c>
      <c r="Q195" s="250" t="s">
        <v>250</v>
      </c>
      <c r="R195" s="250" t="s">
        <v>251</v>
      </c>
      <c r="S195" s="251" t="s">
        <v>250</v>
      </c>
      <c r="T195" s="252" t="s">
        <v>251</v>
      </c>
      <c r="U195" s="251" t="s">
        <v>250</v>
      </c>
      <c r="V195" s="251" t="s">
        <v>250</v>
      </c>
      <c r="W195" s="251" t="s">
        <v>250</v>
      </c>
      <c r="X195" s="251" t="s">
        <v>250</v>
      </c>
      <c r="Y195" s="251" t="s">
        <v>250</v>
      </c>
      <c r="Z195" s="358" t="s">
        <v>251</v>
      </c>
      <c r="AA195" s="358" t="s">
        <v>251</v>
      </c>
    </row>
    <row r="196" spans="1:30" x14ac:dyDescent="0.2">
      <c r="A196" s="135">
        <v>330174360</v>
      </c>
      <c r="B196" s="135">
        <v>3401</v>
      </c>
      <c r="C196" s="135" t="s">
        <v>177</v>
      </c>
      <c r="D196" s="135" t="s">
        <v>263</v>
      </c>
      <c r="E196" s="136">
        <v>45875</v>
      </c>
      <c r="F196" s="136">
        <v>47014</v>
      </c>
      <c r="G196" s="136">
        <v>57875</v>
      </c>
      <c r="H196" s="136">
        <v>59238</v>
      </c>
      <c r="I196" s="136">
        <v>72185</v>
      </c>
      <c r="J196" s="137">
        <v>72185</v>
      </c>
      <c r="K196" s="136">
        <v>72465</v>
      </c>
      <c r="L196" s="137">
        <v>75725</v>
      </c>
      <c r="M196" s="136">
        <v>78257</v>
      </c>
      <c r="N196" s="137">
        <v>86480</v>
      </c>
      <c r="O196" s="136">
        <v>87095</v>
      </c>
      <c r="P196" s="137">
        <v>86204</v>
      </c>
      <c r="Q196" s="136">
        <v>86684.54</v>
      </c>
      <c r="R196" s="137">
        <v>85305</v>
      </c>
      <c r="S196" s="137">
        <v>88725</v>
      </c>
      <c r="T196" s="137">
        <v>85386</v>
      </c>
      <c r="U196" s="137">
        <v>101216</v>
      </c>
      <c r="V196" s="137">
        <v>100674</v>
      </c>
      <c r="W196" s="137">
        <v>89470</v>
      </c>
      <c r="X196" s="137">
        <v>93619</v>
      </c>
      <c r="Y196" s="137">
        <v>105009</v>
      </c>
      <c r="Z196" s="137">
        <v>107468</v>
      </c>
      <c r="AA196" s="137">
        <v>111400</v>
      </c>
    </row>
    <row r="197" spans="1:30" s="32" customFormat="1" hidden="1" x14ac:dyDescent="0.2">
      <c r="A197" s="60">
        <v>330174370</v>
      </c>
      <c r="B197" s="60">
        <v>3401</v>
      </c>
      <c r="C197" s="60" t="s">
        <v>178</v>
      </c>
      <c r="D197" s="60" t="s">
        <v>263</v>
      </c>
      <c r="E197" s="63">
        <v>25</v>
      </c>
      <c r="F197" s="63">
        <v>32.65</v>
      </c>
      <c r="G197" s="63">
        <v>25</v>
      </c>
      <c r="H197" s="63">
        <v>77.83</v>
      </c>
      <c r="I197" s="63">
        <v>25</v>
      </c>
      <c r="J197" s="4">
        <v>25</v>
      </c>
      <c r="K197" s="63">
        <v>138.55000000000001</v>
      </c>
      <c r="L197" s="4">
        <v>25</v>
      </c>
      <c r="M197" s="63">
        <v>164.36</v>
      </c>
      <c r="N197" s="4">
        <v>100</v>
      </c>
      <c r="O197" s="63">
        <v>94.06</v>
      </c>
      <c r="P197" s="4">
        <v>134</v>
      </c>
      <c r="Q197" s="63">
        <v>0</v>
      </c>
      <c r="R197" s="4">
        <v>134</v>
      </c>
      <c r="S197" s="4"/>
      <c r="T197" s="4">
        <v>0</v>
      </c>
      <c r="U197" s="4"/>
      <c r="V197" s="4"/>
      <c r="W197" s="4"/>
      <c r="X197" s="74"/>
      <c r="Y197" s="74"/>
      <c r="Z197" s="74"/>
      <c r="AA197" s="74"/>
    </row>
    <row r="198" spans="1:30" s="32" customFormat="1" x14ac:dyDescent="0.2">
      <c r="A198" s="60">
        <v>330178010</v>
      </c>
      <c r="B198" s="60">
        <v>3502</v>
      </c>
      <c r="C198" s="60" t="s">
        <v>1061</v>
      </c>
      <c r="D198" s="60" t="s">
        <v>263</v>
      </c>
      <c r="E198" s="63">
        <v>1000</v>
      </c>
      <c r="F198" s="63">
        <v>1488.06</v>
      </c>
      <c r="G198" s="63">
        <v>1000</v>
      </c>
      <c r="H198" s="63">
        <v>1855.63</v>
      </c>
      <c r="I198" s="63">
        <v>1000</v>
      </c>
      <c r="J198" s="4">
        <v>2000</v>
      </c>
      <c r="K198" s="63">
        <v>443.91</v>
      </c>
      <c r="L198" s="4">
        <v>2000</v>
      </c>
      <c r="M198" s="63">
        <v>113.73</v>
      </c>
      <c r="N198" s="4">
        <v>500</v>
      </c>
      <c r="O198" s="63">
        <v>303.49</v>
      </c>
      <c r="P198" s="4">
        <v>742</v>
      </c>
      <c r="Q198" s="63">
        <v>30.11</v>
      </c>
      <c r="R198" s="4">
        <v>150</v>
      </c>
      <c r="S198" s="4">
        <v>79.83</v>
      </c>
      <c r="T198" s="4">
        <v>150</v>
      </c>
      <c r="U198" s="4">
        <v>1243.54</v>
      </c>
      <c r="V198" s="4">
        <v>2266.36</v>
      </c>
      <c r="W198" s="4">
        <v>1501</v>
      </c>
      <c r="X198" s="74">
        <v>201</v>
      </c>
      <c r="Y198" s="74">
        <v>199</v>
      </c>
      <c r="Z198" s="74">
        <v>250</v>
      </c>
      <c r="AA198" s="74">
        <v>600</v>
      </c>
    </row>
    <row r="199" spans="1:30" ht="15" x14ac:dyDescent="0.35">
      <c r="A199" s="135">
        <v>330179210</v>
      </c>
      <c r="B199" s="135">
        <v>3401</v>
      </c>
      <c r="C199" s="135" t="s">
        <v>5</v>
      </c>
      <c r="D199" s="135" t="s">
        <v>263</v>
      </c>
      <c r="E199" s="264">
        <v>12000</v>
      </c>
      <c r="F199" s="264">
        <v>7626.99</v>
      </c>
      <c r="G199" s="264">
        <v>0</v>
      </c>
      <c r="H199" s="264">
        <v>-3590.7</v>
      </c>
      <c r="I199" s="264">
        <v>0</v>
      </c>
      <c r="J199" s="256">
        <v>-1000</v>
      </c>
      <c r="K199" s="264">
        <v>-1190.08</v>
      </c>
      <c r="L199" s="256">
        <v>0</v>
      </c>
      <c r="M199" s="264">
        <v>-9481.1</v>
      </c>
      <c r="N199" s="256">
        <v>0</v>
      </c>
      <c r="O199" s="264">
        <f>-8327.55+0.32</f>
        <v>-8327.23</v>
      </c>
      <c r="P199" s="255">
        <v>0</v>
      </c>
      <c r="Q199" s="254">
        <v>-3208.97</v>
      </c>
      <c r="R199" s="255">
        <v>0</v>
      </c>
      <c r="S199" s="255">
        <v>-793.79</v>
      </c>
      <c r="T199" s="255">
        <v>2954</v>
      </c>
      <c r="U199" s="256">
        <v>-14076</v>
      </c>
      <c r="V199" s="256">
        <v>-9677.4</v>
      </c>
      <c r="W199" s="256">
        <v>5243</v>
      </c>
      <c r="X199" s="256">
        <v>5667</v>
      </c>
      <c r="Y199" s="256">
        <v>6006</v>
      </c>
      <c r="Z199" s="256">
        <v>0</v>
      </c>
      <c r="AA199" s="256">
        <v>0</v>
      </c>
    </row>
    <row r="200" spans="1:30" x14ac:dyDescent="0.2">
      <c r="A200" s="262"/>
      <c r="B200" s="262"/>
      <c r="C200" s="47" t="s">
        <v>1908</v>
      </c>
      <c r="D200" s="262"/>
      <c r="E200" s="73" t="e">
        <f>#N/A</f>
        <v>#N/A</v>
      </c>
      <c r="F200" s="73" t="e">
        <f>#N/A</f>
        <v>#N/A</v>
      </c>
      <c r="G200" s="73" t="e">
        <f>#N/A</f>
        <v>#N/A</v>
      </c>
      <c r="H200" s="73" t="e">
        <f>#N/A</f>
        <v>#N/A</v>
      </c>
      <c r="I200" s="73" t="e">
        <f>#N/A</f>
        <v>#N/A</v>
      </c>
      <c r="J200" s="73" t="e">
        <f>#N/A</f>
        <v>#N/A</v>
      </c>
      <c r="K200" s="263" t="e">
        <f>#N/A</f>
        <v>#N/A</v>
      </c>
      <c r="L200" s="73" t="e">
        <f>#N/A</f>
        <v>#N/A</v>
      </c>
      <c r="M200" s="263" t="e">
        <f>#N/A</f>
        <v>#N/A</v>
      </c>
      <c r="N200" s="263" t="e">
        <f>#N/A</f>
        <v>#N/A</v>
      </c>
      <c r="O200" s="263">
        <f t="shared" ref="O200:Y200" si="9">SUM(O196:O199)</f>
        <v>79165.320000000007</v>
      </c>
      <c r="P200" s="73">
        <f t="shared" si="9"/>
        <v>87080</v>
      </c>
      <c r="Q200" s="73">
        <f t="shared" si="9"/>
        <v>83505.679999999993</v>
      </c>
      <c r="R200" s="73">
        <f t="shared" si="9"/>
        <v>85589</v>
      </c>
      <c r="S200" s="73">
        <f t="shared" si="9"/>
        <v>88011.040000000008</v>
      </c>
      <c r="T200" s="73">
        <f t="shared" si="9"/>
        <v>88490</v>
      </c>
      <c r="U200" s="73">
        <f t="shared" ref="U200:X200" si="10">SUM(U196:U199)</f>
        <v>88383.54</v>
      </c>
      <c r="V200" s="73">
        <f t="shared" si="10"/>
        <v>93262.96</v>
      </c>
      <c r="W200" s="73">
        <f t="shared" si="10"/>
        <v>96214</v>
      </c>
      <c r="X200" s="73">
        <f t="shared" si="10"/>
        <v>99487</v>
      </c>
      <c r="Y200" s="73">
        <f t="shared" si="9"/>
        <v>111214</v>
      </c>
      <c r="Z200" s="73">
        <f>SUM(Z196:Z199)</f>
        <v>107718</v>
      </c>
      <c r="AA200" s="73">
        <f>SUM(AA196:AA199)</f>
        <v>112000</v>
      </c>
      <c r="AB200" s="3">
        <f>+AA200-'SUMMARY BY FUND'!F38</f>
        <v>0</v>
      </c>
    </row>
    <row r="201" spans="1:30" x14ac:dyDescent="0.2">
      <c r="A201" s="262"/>
      <c r="B201" s="262"/>
      <c r="C201" s="262"/>
      <c r="D201" s="262"/>
      <c r="E201" s="73"/>
      <c r="F201" s="73"/>
      <c r="G201" s="73"/>
      <c r="H201" s="73"/>
      <c r="I201" s="73"/>
      <c r="J201" s="73"/>
      <c r="K201" s="263"/>
      <c r="L201" s="73"/>
      <c r="M201" s="263"/>
      <c r="N201" s="263"/>
      <c r="O201" s="263"/>
      <c r="P201" s="73"/>
      <c r="Q201" s="73"/>
      <c r="R201" s="73"/>
      <c r="S201" s="73"/>
      <c r="T201" s="73"/>
      <c r="U201" s="73"/>
      <c r="V201" s="73"/>
      <c r="W201" s="73"/>
      <c r="X201" s="73"/>
      <c r="Y201" s="73"/>
      <c r="Z201" s="73"/>
      <c r="AA201" s="73"/>
      <c r="AD201" s="3">
        <f>+Z200-'SUMMARY BY FUND'!D38</f>
        <v>0</v>
      </c>
    </row>
    <row r="202" spans="1:30" x14ac:dyDescent="0.2">
      <c r="A202" s="568" t="s">
        <v>1223</v>
      </c>
      <c r="B202" s="568"/>
      <c r="C202" s="568"/>
      <c r="D202" s="568"/>
      <c r="E202" s="568"/>
      <c r="F202" s="568"/>
      <c r="G202" s="568"/>
      <c r="H202" s="568"/>
      <c r="I202" s="568"/>
      <c r="J202" s="568"/>
      <c r="K202" s="568"/>
      <c r="L202" s="568"/>
      <c r="M202" s="568"/>
      <c r="N202" s="568"/>
      <c r="O202" s="258"/>
      <c r="P202" s="238"/>
      <c r="Q202" s="258"/>
      <c r="R202" s="238"/>
      <c r="S202" s="259"/>
      <c r="T202" s="259"/>
      <c r="U202" s="259"/>
      <c r="V202" s="4"/>
      <c r="W202" s="4"/>
      <c r="X202" s="4"/>
      <c r="Y202" s="4"/>
      <c r="Z202" s="4"/>
      <c r="AA202" s="4"/>
    </row>
    <row r="203" spans="1:30" x14ac:dyDescent="0.2">
      <c r="A203" s="238"/>
      <c r="B203" s="238"/>
      <c r="C203" s="238"/>
      <c r="D203" s="238"/>
      <c r="E203" s="238"/>
      <c r="F203" s="238"/>
      <c r="G203" s="238"/>
      <c r="H203" s="238"/>
      <c r="I203" s="258"/>
      <c r="J203" s="238"/>
      <c r="K203" s="258"/>
      <c r="L203" s="238"/>
      <c r="M203" s="258"/>
      <c r="N203" s="4"/>
      <c r="O203" s="63"/>
      <c r="P203" s="4"/>
      <c r="Q203" s="63"/>
      <c r="R203" s="4"/>
      <c r="S203" s="4"/>
      <c r="T203" s="4"/>
      <c r="U203" s="4"/>
      <c r="V203" s="4"/>
      <c r="W203" s="4"/>
      <c r="X203" s="4"/>
      <c r="Y203" s="4"/>
      <c r="Z203" s="4"/>
      <c r="AA203" s="4"/>
    </row>
    <row r="204" spans="1:30" s="24" customFormat="1" ht="13.5" thickBot="1" x14ac:dyDescent="0.25">
      <c r="A204" s="568" t="s">
        <v>313</v>
      </c>
      <c r="B204" s="568"/>
      <c r="C204" s="568"/>
      <c r="D204" s="568"/>
      <c r="E204" s="568"/>
      <c r="F204" s="238"/>
      <c r="G204" s="238"/>
      <c r="H204" s="238"/>
      <c r="I204" s="258"/>
      <c r="J204" s="238"/>
      <c r="K204" s="258"/>
      <c r="L204" s="238"/>
      <c r="M204" s="258"/>
      <c r="N204" s="4"/>
      <c r="O204" s="63"/>
      <c r="P204" s="4"/>
      <c r="Q204" s="63"/>
      <c r="R204" s="4"/>
      <c r="S204" s="4"/>
      <c r="T204" s="4"/>
      <c r="U204" s="4"/>
      <c r="V204" s="4"/>
      <c r="W204" s="4"/>
      <c r="X204" s="4"/>
      <c r="Y204" s="4"/>
      <c r="Z204" s="73"/>
      <c r="AA204" s="73"/>
    </row>
    <row r="205" spans="1:30" x14ac:dyDescent="0.2">
      <c r="A205" s="248" t="s">
        <v>418</v>
      </c>
      <c r="B205" s="248"/>
      <c r="C205" s="248" t="s">
        <v>418</v>
      </c>
      <c r="D205" s="248" t="s">
        <v>418</v>
      </c>
      <c r="E205" s="248" t="s">
        <v>864</v>
      </c>
      <c r="F205" s="248" t="s">
        <v>864</v>
      </c>
      <c r="G205" s="248" t="s">
        <v>545</v>
      </c>
      <c r="H205" s="248" t="s">
        <v>545</v>
      </c>
      <c r="I205" s="133" t="s">
        <v>24</v>
      </c>
      <c r="J205" s="248" t="s">
        <v>903</v>
      </c>
      <c r="K205" s="133" t="s">
        <v>903</v>
      </c>
      <c r="L205" s="248" t="str">
        <f>+L194</f>
        <v>2009-10</v>
      </c>
      <c r="M205" s="133" t="s">
        <v>584</v>
      </c>
      <c r="N205" s="74" t="s">
        <v>402</v>
      </c>
      <c r="O205" s="133" t="s">
        <v>402</v>
      </c>
      <c r="P205" s="74" t="s">
        <v>826</v>
      </c>
      <c r="Q205" s="133" t="s">
        <v>826</v>
      </c>
      <c r="R205" s="248" t="s">
        <v>1594</v>
      </c>
      <c r="S205" s="73" t="s">
        <v>82</v>
      </c>
      <c r="T205" s="74" t="s">
        <v>82</v>
      </c>
      <c r="U205" s="279" t="s">
        <v>1785</v>
      </c>
      <c r="V205" s="279" t="s">
        <v>1918</v>
      </c>
      <c r="W205" s="279" t="s">
        <v>2003</v>
      </c>
      <c r="X205" s="279" t="s">
        <v>2084</v>
      </c>
      <c r="Y205" s="279" t="s">
        <v>2163</v>
      </c>
      <c r="Z205" s="357" t="s">
        <v>2290</v>
      </c>
      <c r="AA205" s="357" t="s">
        <v>2507</v>
      </c>
    </row>
    <row r="206" spans="1:30" x14ac:dyDescent="0.2">
      <c r="A206" s="249" t="s">
        <v>837</v>
      </c>
      <c r="B206" s="249"/>
      <c r="C206" s="249" t="s">
        <v>279</v>
      </c>
      <c r="D206" s="249" t="s">
        <v>1444</v>
      </c>
      <c r="E206" s="249" t="s">
        <v>251</v>
      </c>
      <c r="F206" s="249" t="s">
        <v>250</v>
      </c>
      <c r="G206" s="249" t="s">
        <v>251</v>
      </c>
      <c r="H206" s="249" t="s">
        <v>250</v>
      </c>
      <c r="I206" s="250" t="s">
        <v>251</v>
      </c>
      <c r="J206" s="250" t="s">
        <v>251</v>
      </c>
      <c r="K206" s="250" t="s">
        <v>250</v>
      </c>
      <c r="L206" s="250" t="str">
        <f>+L195</f>
        <v>Budget</v>
      </c>
      <c r="M206" s="250" t="s">
        <v>250</v>
      </c>
      <c r="N206" s="250" t="s">
        <v>251</v>
      </c>
      <c r="O206" s="250" t="s">
        <v>250</v>
      </c>
      <c r="P206" s="250" t="s">
        <v>251</v>
      </c>
      <c r="Q206" s="250" t="s">
        <v>250</v>
      </c>
      <c r="R206" s="250" t="s">
        <v>251</v>
      </c>
      <c r="S206" s="251" t="s">
        <v>250</v>
      </c>
      <c r="T206" s="252" t="s">
        <v>251</v>
      </c>
      <c r="U206" s="251" t="s">
        <v>250</v>
      </c>
      <c r="V206" s="251" t="s">
        <v>250</v>
      </c>
      <c r="W206" s="251" t="s">
        <v>250</v>
      </c>
      <c r="X206" s="251" t="s">
        <v>250</v>
      </c>
      <c r="Y206" s="251" t="s">
        <v>250</v>
      </c>
      <c r="Z206" s="358" t="s">
        <v>251</v>
      </c>
      <c r="AA206" s="358" t="s">
        <v>251</v>
      </c>
    </row>
    <row r="207" spans="1:30" x14ac:dyDescent="0.2">
      <c r="A207" s="249"/>
      <c r="B207" s="249"/>
      <c r="C207" s="249"/>
      <c r="D207" s="249"/>
      <c r="E207" s="249"/>
      <c r="F207" s="249"/>
      <c r="G207" s="249"/>
      <c r="H207" s="249"/>
      <c r="I207" s="250"/>
      <c r="J207" s="250"/>
      <c r="K207" s="250"/>
      <c r="L207" s="250"/>
      <c r="M207" s="250"/>
      <c r="N207" s="252"/>
      <c r="O207" s="250"/>
      <c r="P207" s="252"/>
      <c r="Q207" s="250"/>
      <c r="R207" s="252"/>
      <c r="S207" s="252"/>
      <c r="T207" s="252"/>
      <c r="U207" s="252"/>
      <c r="V207" s="4"/>
      <c r="W207" s="4"/>
      <c r="X207" s="4"/>
      <c r="Y207" s="4"/>
      <c r="Z207" s="4"/>
      <c r="AA207" s="4"/>
    </row>
    <row r="208" spans="1:30" x14ac:dyDescent="0.2">
      <c r="A208" s="135">
        <v>10474320</v>
      </c>
      <c r="B208" s="135">
        <v>3401</v>
      </c>
      <c r="C208" s="135" t="s">
        <v>1374</v>
      </c>
      <c r="D208" s="135" t="s">
        <v>996</v>
      </c>
      <c r="E208" s="136">
        <v>422480</v>
      </c>
      <c r="F208" s="136">
        <v>416232.48</v>
      </c>
      <c r="G208" s="136">
        <v>483384</v>
      </c>
      <c r="H208" s="136">
        <v>196058.63</v>
      </c>
      <c r="I208" s="136">
        <v>468772</v>
      </c>
      <c r="J208" s="137">
        <v>546500</v>
      </c>
      <c r="K208" s="136">
        <f>303176.04+23598.67</f>
        <v>326774.70999999996</v>
      </c>
      <c r="L208" s="137">
        <v>573981</v>
      </c>
      <c r="M208" s="136">
        <f>384023.76-3571.3</f>
        <v>380452.46</v>
      </c>
      <c r="N208" s="137">
        <v>650735</v>
      </c>
      <c r="O208" s="136">
        <v>396422.46</v>
      </c>
      <c r="P208" s="137">
        <v>693941</v>
      </c>
      <c r="Q208" s="136">
        <f>-14755.45+396712.59</f>
        <v>381957.14</v>
      </c>
      <c r="R208" s="137">
        <v>661068</v>
      </c>
      <c r="S208" s="137">
        <v>339807.25</v>
      </c>
      <c r="T208" s="137">
        <v>513373</v>
      </c>
      <c r="U208" s="137">
        <v>507304.94</v>
      </c>
      <c r="V208" s="137">
        <v>379778.26</v>
      </c>
      <c r="W208" s="137">
        <v>380332</v>
      </c>
      <c r="X208" s="137">
        <v>362726</v>
      </c>
      <c r="Y208" s="137">
        <v>378469</v>
      </c>
      <c r="Z208" s="137">
        <v>487004</v>
      </c>
      <c r="AA208" s="137">
        <v>486279</v>
      </c>
      <c r="AB208" s="3">
        <f>+AA208-Z208</f>
        <v>-725</v>
      </c>
    </row>
    <row r="209" spans="1:28" s="32" customFormat="1" x14ac:dyDescent="0.2">
      <c r="A209" s="60"/>
      <c r="B209" s="60">
        <v>3401</v>
      </c>
      <c r="C209" s="60" t="s">
        <v>5</v>
      </c>
      <c r="D209" s="60" t="s">
        <v>996</v>
      </c>
      <c r="E209" s="63"/>
      <c r="F209" s="63">
        <v>0</v>
      </c>
      <c r="G209" s="63">
        <v>0</v>
      </c>
      <c r="H209" s="63">
        <v>0</v>
      </c>
      <c r="I209" s="63">
        <v>0</v>
      </c>
      <c r="J209" s="4">
        <v>-13308</v>
      </c>
      <c r="K209" s="63"/>
      <c r="L209" s="4"/>
      <c r="M209" s="63">
        <v>0</v>
      </c>
      <c r="N209" s="4"/>
      <c r="O209" s="63"/>
      <c r="P209" s="4">
        <v>0</v>
      </c>
      <c r="Q209" s="63"/>
      <c r="R209" s="4">
        <v>0</v>
      </c>
      <c r="S209" s="4"/>
      <c r="T209" s="4">
        <v>0</v>
      </c>
      <c r="U209" s="4"/>
      <c r="V209" s="4"/>
      <c r="W209" s="4">
        <v>21536</v>
      </c>
      <c r="X209" s="74">
        <v>37584</v>
      </c>
      <c r="Y209" s="74">
        <v>54838</v>
      </c>
      <c r="Z209" s="74"/>
      <c r="AA209" s="74"/>
      <c r="AB209" s="3">
        <f>+AA209-Z209</f>
        <v>0</v>
      </c>
    </row>
    <row r="210" spans="1:28" s="32" customFormat="1" x14ac:dyDescent="0.2">
      <c r="A210" s="60">
        <v>10374320</v>
      </c>
      <c r="B210" s="60">
        <v>3401</v>
      </c>
      <c r="C210" s="60" t="s">
        <v>835</v>
      </c>
      <c r="D210" s="60" t="s">
        <v>836</v>
      </c>
      <c r="E210" s="63">
        <v>0</v>
      </c>
      <c r="F210" s="63">
        <v>0</v>
      </c>
      <c r="G210" s="63">
        <v>0</v>
      </c>
      <c r="H210" s="63">
        <v>0</v>
      </c>
      <c r="I210" s="63">
        <v>0</v>
      </c>
      <c r="J210" s="4">
        <v>9000</v>
      </c>
      <c r="K210" s="63"/>
      <c r="L210" s="4">
        <v>9000</v>
      </c>
      <c r="M210" s="63">
        <v>1440</v>
      </c>
      <c r="N210" s="4">
        <v>9000</v>
      </c>
      <c r="O210" s="63">
        <v>6155.5</v>
      </c>
      <c r="P210" s="4">
        <v>9000</v>
      </c>
      <c r="Q210" s="63">
        <v>13725</v>
      </c>
      <c r="R210" s="4">
        <v>9000</v>
      </c>
      <c r="S210" s="4">
        <v>7425</v>
      </c>
      <c r="T210" s="4">
        <v>9000</v>
      </c>
      <c r="U210" s="4">
        <v>13445.44</v>
      </c>
      <c r="V210" s="4">
        <v>13972.12</v>
      </c>
      <c r="W210" s="4">
        <v>3124</v>
      </c>
      <c r="X210" s="74">
        <v>0</v>
      </c>
      <c r="Y210" s="74">
        <v>0</v>
      </c>
      <c r="Z210" s="74">
        <v>12795</v>
      </c>
      <c r="AA210" s="74">
        <v>12795</v>
      </c>
      <c r="AB210" s="3">
        <f>+AA210-Z210</f>
        <v>0</v>
      </c>
    </row>
    <row r="211" spans="1:28" s="32" customFormat="1" x14ac:dyDescent="0.2">
      <c r="A211" s="135">
        <v>381579120</v>
      </c>
      <c r="B211" s="135">
        <v>3916</v>
      </c>
      <c r="C211" s="135" t="s">
        <v>501</v>
      </c>
      <c r="D211" s="135" t="s">
        <v>670</v>
      </c>
      <c r="E211" s="136">
        <v>2000</v>
      </c>
      <c r="F211" s="136">
        <v>16022.41</v>
      </c>
      <c r="G211" s="136">
        <v>2000</v>
      </c>
      <c r="H211" s="136">
        <v>19976.84</v>
      </c>
      <c r="I211" s="183">
        <v>2000</v>
      </c>
      <c r="J211" s="137">
        <v>0</v>
      </c>
      <c r="K211" s="136">
        <v>-9908.2999999999993</v>
      </c>
      <c r="L211" s="137">
        <v>0</v>
      </c>
      <c r="M211" s="136">
        <v>12545.31</v>
      </c>
      <c r="N211" s="137">
        <v>0</v>
      </c>
      <c r="O211" s="136">
        <v>5813.85</v>
      </c>
      <c r="P211" s="137">
        <v>0</v>
      </c>
      <c r="Q211" s="136">
        <v>11298.27</v>
      </c>
      <c r="R211" s="137">
        <v>3500</v>
      </c>
      <c r="S211" s="137">
        <v>1258.81</v>
      </c>
      <c r="T211" s="137">
        <v>3500</v>
      </c>
      <c r="U211" s="137">
        <v>1625.72</v>
      </c>
      <c r="V211" s="137">
        <v>10604.87</v>
      </c>
      <c r="W211" s="137">
        <v>11000</v>
      </c>
      <c r="X211" s="137">
        <v>5163</v>
      </c>
      <c r="Y211" s="137">
        <v>12000</v>
      </c>
      <c r="Z211" s="137">
        <v>12000</v>
      </c>
      <c r="AA211" s="137">
        <v>12000</v>
      </c>
      <c r="AB211" s="3">
        <f>+AA211-Z211</f>
        <v>0</v>
      </c>
    </row>
    <row r="212" spans="1:28" s="32" customFormat="1" x14ac:dyDescent="0.2">
      <c r="A212" s="60">
        <v>381579210</v>
      </c>
      <c r="B212" s="60">
        <v>3401</v>
      </c>
      <c r="C212" s="60" t="s">
        <v>1871</v>
      </c>
      <c r="D212" s="60" t="s">
        <v>670</v>
      </c>
      <c r="E212" s="63">
        <v>0</v>
      </c>
      <c r="F212" s="63">
        <v>-27323.040000000001</v>
      </c>
      <c r="G212" s="63">
        <v>0</v>
      </c>
      <c r="H212" s="63">
        <v>29372.639999999999</v>
      </c>
      <c r="I212" s="63">
        <v>0</v>
      </c>
      <c r="J212" s="4">
        <v>0</v>
      </c>
      <c r="K212" s="63">
        <v>11937.98</v>
      </c>
      <c r="L212" s="4">
        <v>0</v>
      </c>
      <c r="M212" s="63">
        <f>-12545+3100.64</f>
        <v>-9444.36</v>
      </c>
      <c r="N212" s="4">
        <v>0</v>
      </c>
      <c r="O212" s="63">
        <v>-2367.71</v>
      </c>
      <c r="P212" s="4">
        <v>0</v>
      </c>
      <c r="Q212" s="63">
        <v>-8289.59</v>
      </c>
      <c r="R212" s="4">
        <v>0</v>
      </c>
      <c r="S212" s="4">
        <v>2945.37</v>
      </c>
      <c r="T212" s="4">
        <v>0</v>
      </c>
      <c r="U212" s="4">
        <v>2760</v>
      </c>
      <c r="V212" s="4">
        <v>-5404.63</v>
      </c>
      <c r="W212" s="4">
        <v>0</v>
      </c>
      <c r="X212" s="4">
        <v>148</v>
      </c>
      <c r="Y212" s="4">
        <v>0</v>
      </c>
      <c r="Z212" s="4">
        <v>0</v>
      </c>
      <c r="AA212" s="4">
        <v>0</v>
      </c>
    </row>
    <row r="213" spans="1:28" s="32" customFormat="1" ht="15" x14ac:dyDescent="0.35">
      <c r="A213" s="135">
        <v>11374870</v>
      </c>
      <c r="B213" s="135">
        <v>3401</v>
      </c>
      <c r="C213" s="135" t="s">
        <v>123</v>
      </c>
      <c r="D213" s="135" t="s">
        <v>571</v>
      </c>
      <c r="E213" s="254">
        <v>138000</v>
      </c>
      <c r="F213" s="254">
        <v>139217.5</v>
      </c>
      <c r="G213" s="254">
        <v>138000</v>
      </c>
      <c r="H213" s="254">
        <v>132935</v>
      </c>
      <c r="I213" s="254">
        <v>138000</v>
      </c>
      <c r="J213" s="256">
        <v>192380</v>
      </c>
      <c r="K213" s="264">
        <v>125371.5</v>
      </c>
      <c r="L213" s="256">
        <v>175171</v>
      </c>
      <c r="M213" s="264">
        <v>151964</v>
      </c>
      <c r="N213" s="256">
        <v>179679</v>
      </c>
      <c r="O213" s="264">
        <v>134360.57999999999</v>
      </c>
      <c r="P213" s="256">
        <v>198579</v>
      </c>
      <c r="Q213" s="264">
        <v>170611</v>
      </c>
      <c r="R213" s="256">
        <v>204538</v>
      </c>
      <c r="S213" s="256">
        <v>168922.5</v>
      </c>
      <c r="T213" s="256">
        <v>172467</v>
      </c>
      <c r="U213" s="256">
        <v>0</v>
      </c>
      <c r="V213" s="256">
        <v>0</v>
      </c>
      <c r="W213" s="256">
        <v>0</v>
      </c>
      <c r="X213" s="265">
        <v>0</v>
      </c>
      <c r="Y213" s="265">
        <v>0</v>
      </c>
      <c r="Z213" s="265">
        <v>0</v>
      </c>
      <c r="AA213" s="265">
        <v>0</v>
      </c>
    </row>
    <row r="214" spans="1:28" hidden="1" x14ac:dyDescent="0.2">
      <c r="A214" s="182"/>
      <c r="B214" s="182">
        <v>3401</v>
      </c>
      <c r="C214" s="60" t="s">
        <v>992</v>
      </c>
      <c r="D214" s="60" t="s">
        <v>571</v>
      </c>
      <c r="E214" s="63">
        <v>0</v>
      </c>
      <c r="F214" s="63">
        <v>0</v>
      </c>
      <c r="G214" s="63">
        <v>0</v>
      </c>
      <c r="H214" s="63">
        <v>0</v>
      </c>
      <c r="I214" s="63">
        <v>0</v>
      </c>
      <c r="J214" s="4">
        <v>-1093</v>
      </c>
      <c r="K214" s="63"/>
      <c r="L214" s="4">
        <v>0</v>
      </c>
      <c r="M214" s="63"/>
      <c r="N214" s="4">
        <v>0</v>
      </c>
      <c r="O214" s="63"/>
      <c r="P214" s="4"/>
      <c r="Q214" s="63"/>
      <c r="R214" s="4"/>
      <c r="S214" s="4"/>
      <c r="T214" s="4"/>
      <c r="U214" s="4"/>
      <c r="V214" s="4"/>
      <c r="W214" s="4"/>
      <c r="X214" s="4"/>
      <c r="Y214" s="4"/>
      <c r="Z214" s="4"/>
      <c r="AA214" s="4"/>
    </row>
    <row r="215" spans="1:28" x14ac:dyDescent="0.2">
      <c r="A215" s="182"/>
      <c r="B215" s="182"/>
      <c r="C215" s="60" t="s">
        <v>1907</v>
      </c>
      <c r="D215" s="60"/>
      <c r="E215" s="63"/>
      <c r="F215" s="63"/>
      <c r="G215" s="63"/>
      <c r="H215" s="63"/>
      <c r="I215" s="63"/>
      <c r="J215" s="4"/>
      <c r="K215" s="63"/>
      <c r="L215" s="4"/>
      <c r="M215" s="63"/>
      <c r="N215" s="4"/>
      <c r="O215" s="63"/>
      <c r="P215" s="4"/>
      <c r="Q215" s="63"/>
      <c r="R215" s="4"/>
      <c r="S215" s="4">
        <f>SUM(S208:S213)</f>
        <v>520358.93</v>
      </c>
      <c r="T215" s="4">
        <f t="shared" ref="T215:AA215" si="11">SUM(T208:T213)</f>
        <v>698340</v>
      </c>
      <c r="U215" s="4">
        <f t="shared" ref="U215:X215" si="12">SUM(U208:U213)</f>
        <v>525136.1</v>
      </c>
      <c r="V215" s="4">
        <f t="shared" si="12"/>
        <v>398950.62</v>
      </c>
      <c r="W215" s="4">
        <f t="shared" si="12"/>
        <v>415992</v>
      </c>
      <c r="X215" s="4">
        <f t="shared" si="12"/>
        <v>405621</v>
      </c>
      <c r="Y215" s="4">
        <f t="shared" si="11"/>
        <v>445307</v>
      </c>
      <c r="Z215" s="4">
        <f t="shared" ref="Z215" si="13">SUM(Z208:Z213)</f>
        <v>511799</v>
      </c>
      <c r="AA215" s="4">
        <f t="shared" si="11"/>
        <v>511074</v>
      </c>
    </row>
    <row r="216" spans="1:28" x14ac:dyDescent="0.2">
      <c r="A216" s="182"/>
      <c r="B216" s="182"/>
      <c r="C216" s="60"/>
      <c r="D216" s="60"/>
      <c r="E216" s="63"/>
      <c r="F216" s="63"/>
      <c r="G216" s="63"/>
      <c r="H216" s="63"/>
      <c r="I216" s="63"/>
      <c r="J216" s="4"/>
      <c r="K216" s="63"/>
      <c r="L216" s="4"/>
      <c r="M216" s="63"/>
      <c r="N216" s="4"/>
      <c r="O216" s="63"/>
      <c r="P216" s="4"/>
      <c r="Q216" s="63"/>
      <c r="R216" s="4"/>
      <c r="S216" s="4"/>
      <c r="T216" s="4"/>
      <c r="U216" s="4"/>
      <c r="V216" s="4"/>
      <c r="W216" s="4"/>
      <c r="X216" s="4"/>
      <c r="Y216" s="4"/>
      <c r="Z216" s="4"/>
      <c r="AA216" s="4"/>
    </row>
    <row r="217" spans="1:28" x14ac:dyDescent="0.2">
      <c r="A217" s="135"/>
      <c r="B217" s="135"/>
      <c r="C217" s="266" t="s">
        <v>519</v>
      </c>
      <c r="D217" s="136"/>
      <c r="E217" s="137" t="e">
        <f>#N/A</f>
        <v>#N/A</v>
      </c>
      <c r="F217" s="137" t="e">
        <f>#N/A</f>
        <v>#N/A</v>
      </c>
      <c r="G217" s="137" t="e">
        <f>#N/A</f>
        <v>#N/A</v>
      </c>
      <c r="H217" s="137" t="e">
        <f>#N/A</f>
        <v>#N/A</v>
      </c>
      <c r="I217" s="137" t="e">
        <f>#N/A</f>
        <v>#N/A</v>
      </c>
      <c r="J217" s="137" t="e">
        <f>#N/A</f>
        <v>#N/A</v>
      </c>
      <c r="K217" s="136" t="e">
        <f>#N/A</f>
        <v>#N/A</v>
      </c>
      <c r="L217" s="137" t="e">
        <f>#N/A</f>
        <v>#N/A</v>
      </c>
      <c r="M217" s="136" t="e">
        <f>#N/A</f>
        <v>#N/A</v>
      </c>
      <c r="N217" s="137" t="e">
        <f>#N/A</f>
        <v>#N/A</v>
      </c>
      <c r="O217" s="136">
        <f>+O214+O125+O167+O156+O177</f>
        <v>1806825.0399999998</v>
      </c>
      <c r="P217" s="137">
        <f>+P214+P125+P167+P156+P177</f>
        <v>80382.286545454554</v>
      </c>
      <c r="Q217" s="137">
        <f>+Q214+Q125+Q167+Q156+Q177</f>
        <v>1743310.61</v>
      </c>
      <c r="R217" s="137">
        <f>+R214+R125+R167+R156+R177</f>
        <v>1977951</v>
      </c>
      <c r="S217" s="260">
        <f>+S215+S200+S190+S179+S148</f>
        <v>29710426.100000001</v>
      </c>
      <c r="T217" s="260">
        <f t="shared" ref="T217:AA217" si="14">+T215+T200+T190+T179+T148</f>
        <v>29007041</v>
      </c>
      <c r="U217" s="260">
        <f t="shared" ref="U217:X217" si="15">+U215+U200+U190+U179+U148</f>
        <v>33813733.630000003</v>
      </c>
      <c r="V217" s="260">
        <f t="shared" si="15"/>
        <v>32525263.339999996</v>
      </c>
      <c r="W217" s="260">
        <f t="shared" si="15"/>
        <v>37318727.5</v>
      </c>
      <c r="X217" s="260">
        <f t="shared" si="15"/>
        <v>37501965</v>
      </c>
      <c r="Y217" s="260">
        <f t="shared" si="14"/>
        <v>40995139.030000001</v>
      </c>
      <c r="Z217" s="260">
        <f t="shared" ref="Z217" si="16">+Z215+Z200+Z190+Z179+Z148</f>
        <v>38743636</v>
      </c>
      <c r="AA217" s="260">
        <f t="shared" si="14"/>
        <v>41759870</v>
      </c>
      <c r="AB217" s="3">
        <f>+AA217-Z217</f>
        <v>3016234</v>
      </c>
    </row>
    <row r="218" spans="1:28" x14ac:dyDescent="0.2">
      <c r="A218" s="182"/>
      <c r="B218" s="182"/>
      <c r="C218" s="60"/>
      <c r="D218" s="60"/>
      <c r="E218" s="63"/>
      <c r="F218" s="63"/>
      <c r="G218" s="63"/>
      <c r="H218" s="63"/>
      <c r="I218" s="63"/>
      <c r="J218" s="4"/>
      <c r="K218" s="63"/>
      <c r="L218" s="4"/>
      <c r="M218" s="63"/>
      <c r="N218" s="4"/>
      <c r="O218" s="63"/>
      <c r="P218" s="4"/>
      <c r="Q218" s="63"/>
      <c r="R218" s="4"/>
      <c r="S218" s="4"/>
      <c r="T218" s="4"/>
      <c r="U218" s="4"/>
      <c r="V218" s="4"/>
      <c r="W218" s="4"/>
      <c r="X218" s="4"/>
      <c r="Y218" s="4"/>
      <c r="Z218" s="4"/>
      <c r="AA218" s="4"/>
    </row>
    <row r="219" spans="1:28" x14ac:dyDescent="0.2">
      <c r="A219" s="60"/>
      <c r="B219" s="60"/>
      <c r="C219" s="60"/>
      <c r="D219" s="60"/>
      <c r="E219" s="63"/>
      <c r="F219" s="63"/>
      <c r="G219" s="63"/>
      <c r="H219" s="63"/>
      <c r="I219" s="63"/>
      <c r="J219" s="4"/>
      <c r="K219" s="63"/>
      <c r="L219" s="4"/>
      <c r="M219" s="63"/>
      <c r="N219" s="4"/>
      <c r="O219" s="63"/>
      <c r="P219" s="4"/>
      <c r="Q219" s="63"/>
      <c r="R219" s="4"/>
      <c r="S219" s="4"/>
      <c r="T219" s="4"/>
      <c r="U219" s="4"/>
      <c r="V219" s="4"/>
      <c r="W219" s="4"/>
      <c r="X219" s="4"/>
      <c r="Y219" s="4"/>
      <c r="Z219" s="4"/>
      <c r="AA219" s="4"/>
    </row>
    <row r="220" spans="1:28" ht="13.5" thickBot="1" x14ac:dyDescent="0.25">
      <c r="A220" s="568" t="s">
        <v>314</v>
      </c>
      <c r="B220" s="568"/>
      <c r="C220" s="568"/>
      <c r="D220" s="568"/>
      <c r="E220" s="568"/>
      <c r="F220" s="568"/>
      <c r="G220" s="568"/>
      <c r="H220" s="568"/>
      <c r="I220" s="568"/>
      <c r="J220" s="568"/>
      <c r="K220" s="568"/>
      <c r="L220" s="568"/>
      <c r="M220" s="568"/>
      <c r="N220" s="568"/>
      <c r="O220" s="258"/>
      <c r="P220" s="238"/>
      <c r="Q220" s="258"/>
      <c r="R220" s="238"/>
      <c r="S220" s="259"/>
      <c r="T220" s="259"/>
      <c r="U220" s="259"/>
      <c r="V220" s="4"/>
      <c r="W220" s="4"/>
      <c r="X220" s="4"/>
      <c r="Y220" s="4"/>
      <c r="Z220" s="4"/>
      <c r="AA220" s="4"/>
    </row>
    <row r="221" spans="1:28" x14ac:dyDescent="0.2">
      <c r="A221" s="248" t="s">
        <v>418</v>
      </c>
      <c r="B221" s="248"/>
      <c r="C221" s="248" t="s">
        <v>418</v>
      </c>
      <c r="D221" s="248" t="s">
        <v>418</v>
      </c>
      <c r="E221" s="248" t="s">
        <v>864</v>
      </c>
      <c r="F221" s="248" t="s">
        <v>864</v>
      </c>
      <c r="G221" s="248" t="s">
        <v>545</v>
      </c>
      <c r="H221" s="248" t="s">
        <v>545</v>
      </c>
      <c r="I221" s="133" t="s">
        <v>24</v>
      </c>
      <c r="J221" s="248" t="s">
        <v>903</v>
      </c>
      <c r="K221" s="133" t="s">
        <v>903</v>
      </c>
      <c r="L221" s="248" t="e">
        <f>+#REF!</f>
        <v>#REF!</v>
      </c>
      <c r="M221" s="133" t="s">
        <v>584</v>
      </c>
      <c r="N221" s="74" t="s">
        <v>402</v>
      </c>
      <c r="O221" s="133" t="s">
        <v>402</v>
      </c>
      <c r="P221" s="74" t="s">
        <v>826</v>
      </c>
      <c r="Q221" s="133" t="s">
        <v>826</v>
      </c>
      <c r="R221" s="248" t="s">
        <v>1594</v>
      </c>
      <c r="S221" s="73" t="s">
        <v>82</v>
      </c>
      <c r="T221" s="74" t="s">
        <v>82</v>
      </c>
      <c r="U221" s="279" t="s">
        <v>1785</v>
      </c>
      <c r="V221" s="279" t="s">
        <v>1918</v>
      </c>
      <c r="W221" s="279" t="s">
        <v>2003</v>
      </c>
      <c r="X221" s="279" t="s">
        <v>2084</v>
      </c>
      <c r="Y221" s="279" t="s">
        <v>2163</v>
      </c>
      <c r="Z221" s="357" t="s">
        <v>2290</v>
      </c>
      <c r="AA221" s="357" t="s">
        <v>2507</v>
      </c>
    </row>
    <row r="222" spans="1:28" x14ac:dyDescent="0.2">
      <c r="A222" s="249" t="s">
        <v>837</v>
      </c>
      <c r="B222" s="249"/>
      <c r="C222" s="249" t="s">
        <v>279</v>
      </c>
      <c r="D222" s="249" t="s">
        <v>1444</v>
      </c>
      <c r="E222" s="249" t="s">
        <v>251</v>
      </c>
      <c r="F222" s="249" t="s">
        <v>250</v>
      </c>
      <c r="G222" s="249" t="s">
        <v>251</v>
      </c>
      <c r="H222" s="249" t="s">
        <v>250</v>
      </c>
      <c r="I222" s="250" t="s">
        <v>251</v>
      </c>
      <c r="J222" s="250" t="s">
        <v>251</v>
      </c>
      <c r="K222" s="250" t="s">
        <v>250</v>
      </c>
      <c r="L222" s="250" t="e">
        <f>+#REF!</f>
        <v>#REF!</v>
      </c>
      <c r="M222" s="250" t="s">
        <v>250</v>
      </c>
      <c r="N222" s="250" t="s">
        <v>251</v>
      </c>
      <c r="O222" s="250" t="s">
        <v>250</v>
      </c>
      <c r="P222" s="250" t="s">
        <v>251</v>
      </c>
      <c r="Q222" s="250" t="s">
        <v>250</v>
      </c>
      <c r="R222" s="250" t="s">
        <v>251</v>
      </c>
      <c r="S222" s="251" t="s">
        <v>250</v>
      </c>
      <c r="T222" s="252" t="s">
        <v>251</v>
      </c>
      <c r="U222" s="251" t="s">
        <v>250</v>
      </c>
      <c r="V222" s="251" t="s">
        <v>250</v>
      </c>
      <c r="W222" s="251" t="s">
        <v>250</v>
      </c>
      <c r="X222" s="251" t="s">
        <v>250</v>
      </c>
      <c r="Y222" s="251" t="s">
        <v>250</v>
      </c>
      <c r="Z222" s="358" t="s">
        <v>251</v>
      </c>
      <c r="AA222" s="358" t="s">
        <v>251</v>
      </c>
    </row>
    <row r="223" spans="1:28" hidden="1" x14ac:dyDescent="0.2">
      <c r="A223" s="60">
        <v>12174330</v>
      </c>
      <c r="B223" s="60">
        <v>0</v>
      </c>
      <c r="C223" s="60" t="s">
        <v>439</v>
      </c>
      <c r="D223" s="60" t="s">
        <v>226</v>
      </c>
      <c r="E223" s="63">
        <v>70000</v>
      </c>
      <c r="F223" s="63">
        <v>90791.57</v>
      </c>
      <c r="G223" s="63">
        <v>150000</v>
      </c>
      <c r="H223" s="63">
        <v>41690.699999999997</v>
      </c>
      <c r="I223" s="63">
        <v>0</v>
      </c>
      <c r="J223" s="4">
        <v>0</v>
      </c>
      <c r="K223" s="63">
        <v>0</v>
      </c>
      <c r="L223" s="4">
        <v>0</v>
      </c>
      <c r="M223" s="63">
        <v>0</v>
      </c>
      <c r="N223" s="4">
        <v>0</v>
      </c>
      <c r="O223" s="63"/>
      <c r="P223" s="4"/>
      <c r="Q223" s="63"/>
      <c r="R223" s="4"/>
      <c r="S223" s="4"/>
      <c r="T223" s="4"/>
      <c r="U223" s="4"/>
      <c r="V223" s="4"/>
      <c r="W223" s="4"/>
      <c r="X223" s="4"/>
      <c r="Y223" s="4"/>
      <c r="Z223" s="4"/>
      <c r="AA223" s="4"/>
    </row>
    <row r="224" spans="1:28" s="32" customFormat="1" hidden="1" x14ac:dyDescent="0.2">
      <c r="A224" s="60">
        <v>10774090</v>
      </c>
      <c r="B224" s="60">
        <v>0</v>
      </c>
      <c r="C224" s="60" t="s">
        <v>231</v>
      </c>
      <c r="D224" s="60" t="s">
        <v>742</v>
      </c>
      <c r="E224" s="63"/>
      <c r="F224" s="63">
        <v>0</v>
      </c>
      <c r="G224" s="63">
        <v>85000</v>
      </c>
      <c r="H224" s="63">
        <v>51188.34</v>
      </c>
      <c r="I224" s="63">
        <v>0</v>
      </c>
      <c r="J224" s="4">
        <v>0</v>
      </c>
      <c r="K224" s="63">
        <v>0</v>
      </c>
      <c r="L224" s="4">
        <v>0</v>
      </c>
      <c r="M224" s="63">
        <v>0</v>
      </c>
      <c r="N224" s="4">
        <v>0</v>
      </c>
      <c r="O224" s="63"/>
      <c r="P224" s="4"/>
      <c r="Q224" s="63"/>
      <c r="R224" s="4"/>
      <c r="S224" s="4"/>
      <c r="T224" s="4"/>
      <c r="U224" s="4"/>
      <c r="V224" s="4"/>
      <c r="W224" s="4"/>
      <c r="X224" s="4"/>
      <c r="Y224" s="4"/>
      <c r="Z224" s="74"/>
      <c r="AA224" s="74"/>
    </row>
    <row r="225" spans="1:27" s="32" customFormat="1" hidden="1" x14ac:dyDescent="0.2">
      <c r="A225" s="182">
        <v>424279220</v>
      </c>
      <c r="B225" s="182">
        <v>3934</v>
      </c>
      <c r="C225" s="60" t="s">
        <v>280</v>
      </c>
      <c r="D225" s="60" t="s">
        <v>281</v>
      </c>
      <c r="E225" s="63">
        <v>0</v>
      </c>
      <c r="F225" s="63">
        <v>0</v>
      </c>
      <c r="G225" s="63"/>
      <c r="H225" s="63">
        <v>0</v>
      </c>
      <c r="I225" s="63">
        <v>1708000</v>
      </c>
      <c r="J225" s="4">
        <v>0</v>
      </c>
      <c r="K225" s="63"/>
      <c r="L225" s="4">
        <v>0</v>
      </c>
      <c r="M225" s="63">
        <v>0</v>
      </c>
      <c r="N225" s="4">
        <v>0</v>
      </c>
      <c r="O225" s="63"/>
      <c r="P225" s="4"/>
      <c r="Q225" s="63"/>
      <c r="R225" s="4"/>
      <c r="S225" s="4"/>
      <c r="T225" s="4"/>
      <c r="U225" s="4"/>
      <c r="V225" s="4"/>
      <c r="W225" s="4"/>
      <c r="X225" s="4"/>
      <c r="Y225" s="4"/>
      <c r="Z225" s="74"/>
      <c r="AA225" s="74"/>
    </row>
    <row r="226" spans="1:27" hidden="1" x14ac:dyDescent="0.2">
      <c r="A226" s="182"/>
      <c r="B226" s="182">
        <v>3934</v>
      </c>
      <c r="C226" s="60" t="s">
        <v>252</v>
      </c>
      <c r="D226" s="60"/>
      <c r="E226" s="63"/>
      <c r="F226" s="63"/>
      <c r="G226" s="63"/>
      <c r="H226" s="63"/>
      <c r="I226" s="63"/>
      <c r="J226" s="4"/>
      <c r="K226" s="63"/>
      <c r="L226" s="4">
        <v>0</v>
      </c>
      <c r="M226" s="63">
        <v>0</v>
      </c>
      <c r="N226" s="4"/>
      <c r="O226" s="63"/>
      <c r="P226" s="4"/>
      <c r="Q226" s="63"/>
      <c r="R226" s="4"/>
      <c r="S226" s="4"/>
      <c r="T226" s="4"/>
      <c r="U226" s="4"/>
      <c r="V226" s="4"/>
      <c r="W226" s="4"/>
      <c r="X226" s="4"/>
      <c r="Y226" s="4"/>
      <c r="Z226" s="4"/>
      <c r="AA226" s="4"/>
    </row>
    <row r="227" spans="1:27" hidden="1" x14ac:dyDescent="0.2">
      <c r="A227" s="182"/>
      <c r="B227" s="182">
        <v>3503</v>
      </c>
      <c r="C227" s="60" t="s">
        <v>1395</v>
      </c>
      <c r="D227" s="60"/>
      <c r="E227" s="63"/>
      <c r="F227" s="63"/>
      <c r="G227" s="63"/>
      <c r="H227" s="63"/>
      <c r="I227" s="63"/>
      <c r="J227" s="4"/>
      <c r="K227" s="63"/>
      <c r="L227" s="4">
        <v>0</v>
      </c>
      <c r="M227" s="63">
        <v>0</v>
      </c>
      <c r="N227" s="4"/>
      <c r="O227" s="63"/>
      <c r="P227" s="4"/>
      <c r="Q227" s="63"/>
      <c r="R227" s="4"/>
      <c r="S227" s="4"/>
      <c r="T227" s="4"/>
      <c r="U227" s="4"/>
      <c r="V227" s="4"/>
      <c r="W227" s="4"/>
      <c r="X227" s="4"/>
      <c r="Y227" s="4"/>
      <c r="Z227" s="4"/>
      <c r="AA227" s="4"/>
    </row>
    <row r="228" spans="1:27" x14ac:dyDescent="0.2">
      <c r="A228" s="181">
        <v>424278010</v>
      </c>
      <c r="B228" s="181">
        <v>3934</v>
      </c>
      <c r="C228" s="135" t="s">
        <v>305</v>
      </c>
      <c r="D228" s="135" t="s">
        <v>306</v>
      </c>
      <c r="E228" s="136">
        <v>0</v>
      </c>
      <c r="F228" s="136">
        <v>0</v>
      </c>
      <c r="G228" s="136">
        <v>0</v>
      </c>
      <c r="H228" s="136">
        <v>0</v>
      </c>
      <c r="I228" s="136">
        <v>0</v>
      </c>
      <c r="J228" s="137"/>
      <c r="K228" s="136">
        <v>13486.89</v>
      </c>
      <c r="L228" s="137"/>
      <c r="M228" s="136">
        <v>3751.56</v>
      </c>
      <c r="N228" s="137">
        <v>0</v>
      </c>
      <c r="O228" s="136">
        <v>1424.93</v>
      </c>
      <c r="P228" s="137"/>
      <c r="Q228" s="136"/>
      <c r="R228" s="137"/>
      <c r="S228" s="137">
        <v>446.86</v>
      </c>
      <c r="T228" s="137"/>
      <c r="U228" s="137"/>
      <c r="V228" s="137">
        <v>50874</v>
      </c>
      <c r="W228" s="137">
        <v>1505</v>
      </c>
      <c r="X228" s="137">
        <v>0</v>
      </c>
      <c r="Y228" s="137">
        <v>0</v>
      </c>
      <c r="Z228" s="137">
        <v>0</v>
      </c>
      <c r="AA228" s="137">
        <v>0</v>
      </c>
    </row>
    <row r="229" spans="1:27" hidden="1" x14ac:dyDescent="0.2">
      <c r="A229" s="182">
        <v>424279210</v>
      </c>
      <c r="B229" s="182">
        <v>3934</v>
      </c>
      <c r="C229" s="60" t="s">
        <v>5</v>
      </c>
      <c r="D229" s="60" t="s">
        <v>2150</v>
      </c>
      <c r="E229" s="63">
        <v>0</v>
      </c>
      <c r="F229" s="63">
        <v>0</v>
      </c>
      <c r="G229" s="63">
        <v>0</v>
      </c>
      <c r="H229" s="63">
        <v>0</v>
      </c>
      <c r="I229" s="63">
        <v>0</v>
      </c>
      <c r="J229" s="4"/>
      <c r="K229" s="63">
        <v>579728.69999999995</v>
      </c>
      <c r="L229" s="4"/>
      <c r="M229" s="63">
        <v>-3756.56</v>
      </c>
      <c r="N229" s="4">
        <v>0</v>
      </c>
      <c r="O229" s="63">
        <f>899745.83+696.97-1424.93-325</f>
        <v>898692.86999999988</v>
      </c>
      <c r="P229" s="4"/>
      <c r="Q229" s="63"/>
      <c r="R229" s="4"/>
      <c r="S229" s="4"/>
      <c r="T229" s="4"/>
      <c r="U229" s="4"/>
      <c r="V229" s="4">
        <v>0</v>
      </c>
      <c r="W229" s="4">
        <v>0</v>
      </c>
      <c r="X229" s="4"/>
      <c r="Y229" s="4"/>
      <c r="Z229" s="4"/>
      <c r="AA229" s="4"/>
    </row>
    <row r="230" spans="1:27" hidden="1" x14ac:dyDescent="0.2">
      <c r="A230" s="182"/>
      <c r="B230" s="182">
        <v>3934</v>
      </c>
      <c r="C230" s="60" t="s">
        <v>906</v>
      </c>
      <c r="D230" s="60" t="s">
        <v>306</v>
      </c>
      <c r="E230" s="63"/>
      <c r="F230" s="63"/>
      <c r="G230" s="63"/>
      <c r="H230" s="63"/>
      <c r="I230" s="63"/>
      <c r="J230" s="4"/>
      <c r="K230" s="63"/>
      <c r="L230" s="4"/>
      <c r="M230" s="63"/>
      <c r="N230" s="4"/>
      <c r="O230" s="63"/>
      <c r="P230" s="4"/>
      <c r="Q230" s="63"/>
      <c r="R230" s="4"/>
      <c r="S230" s="4"/>
      <c r="T230" s="4"/>
      <c r="U230" s="4"/>
      <c r="V230" s="4"/>
      <c r="W230" s="4"/>
      <c r="X230" s="4"/>
      <c r="Y230" s="4"/>
      <c r="Z230" s="4"/>
      <c r="AA230" s="4"/>
    </row>
    <row r="231" spans="1:27" hidden="1" x14ac:dyDescent="0.2">
      <c r="A231" s="182"/>
      <c r="B231" s="182">
        <v>3934</v>
      </c>
      <c r="C231" s="60" t="s">
        <v>907</v>
      </c>
      <c r="D231" s="60" t="s">
        <v>908</v>
      </c>
      <c r="E231" s="63"/>
      <c r="F231" s="63"/>
      <c r="G231" s="63"/>
      <c r="H231" s="63"/>
      <c r="I231" s="63"/>
      <c r="J231" s="4"/>
      <c r="K231" s="63"/>
      <c r="L231" s="4"/>
      <c r="M231" s="63"/>
      <c r="N231" s="4"/>
      <c r="O231" s="63"/>
      <c r="P231" s="4"/>
      <c r="Q231" s="63"/>
      <c r="R231" s="4"/>
      <c r="S231" s="4"/>
      <c r="T231" s="4"/>
      <c r="U231" s="4"/>
      <c r="V231" s="4"/>
      <c r="W231" s="4"/>
      <c r="X231" s="4"/>
      <c r="Y231" s="4"/>
      <c r="Z231" s="4"/>
      <c r="AA231" s="4"/>
    </row>
    <row r="232" spans="1:27" hidden="1" x14ac:dyDescent="0.2">
      <c r="A232" s="182"/>
      <c r="B232" s="182">
        <v>3311</v>
      </c>
      <c r="C232" s="60" t="s">
        <v>1193</v>
      </c>
      <c r="D232" s="60"/>
      <c r="E232" s="63"/>
      <c r="F232" s="63"/>
      <c r="G232" s="63"/>
      <c r="H232" s="63"/>
      <c r="I232" s="63"/>
      <c r="J232" s="4"/>
      <c r="K232" s="63"/>
      <c r="L232" s="4">
        <v>3288000</v>
      </c>
      <c r="M232" s="63">
        <v>0</v>
      </c>
      <c r="N232" s="4">
        <v>0</v>
      </c>
      <c r="O232" s="63">
        <v>1099755.3600000001</v>
      </c>
      <c r="P232" s="4"/>
      <c r="Q232" s="63">
        <v>1444893.54</v>
      </c>
      <c r="R232" s="4"/>
      <c r="S232" s="4">
        <v>0</v>
      </c>
      <c r="T232" s="4"/>
      <c r="U232" s="4"/>
      <c r="V232" s="4">
        <v>0</v>
      </c>
      <c r="W232" s="4">
        <v>0</v>
      </c>
      <c r="X232" s="4">
        <v>0</v>
      </c>
      <c r="Y232" s="4">
        <v>0</v>
      </c>
      <c r="Z232" s="4"/>
      <c r="AA232" s="4"/>
    </row>
    <row r="233" spans="1:27" hidden="1" x14ac:dyDescent="0.2">
      <c r="A233" s="181"/>
      <c r="B233" s="181"/>
      <c r="C233" s="135" t="s">
        <v>80</v>
      </c>
      <c r="D233" s="135" t="s">
        <v>81</v>
      </c>
      <c r="E233" s="136"/>
      <c r="F233" s="136"/>
      <c r="G233" s="136"/>
      <c r="H233" s="136"/>
      <c r="I233" s="136"/>
      <c r="J233" s="137"/>
      <c r="K233" s="136"/>
      <c r="L233" s="137"/>
      <c r="M233" s="136"/>
      <c r="N233" s="137"/>
      <c r="O233" s="136"/>
      <c r="P233" s="137"/>
      <c r="Q233" s="136"/>
      <c r="R233" s="137">
        <v>2875000</v>
      </c>
      <c r="S233" s="137"/>
      <c r="T233" s="137"/>
      <c r="U233" s="137"/>
      <c r="V233" s="137"/>
      <c r="W233" s="137"/>
      <c r="X233" s="137"/>
      <c r="Y233" s="137"/>
      <c r="Z233" s="137"/>
      <c r="AA233" s="137"/>
    </row>
    <row r="234" spans="1:27" x14ac:dyDescent="0.2">
      <c r="A234" s="182">
        <v>434379210</v>
      </c>
      <c r="B234" s="182">
        <v>3934</v>
      </c>
      <c r="C234" s="60" t="s">
        <v>280</v>
      </c>
      <c r="D234" s="60" t="s">
        <v>1645</v>
      </c>
      <c r="E234" s="63"/>
      <c r="F234" s="63"/>
      <c r="G234" s="63"/>
      <c r="H234" s="63"/>
      <c r="I234" s="63"/>
      <c r="J234" s="4"/>
      <c r="K234" s="63"/>
      <c r="L234" s="4"/>
      <c r="M234" s="63"/>
      <c r="N234" s="4"/>
      <c r="O234" s="63"/>
      <c r="P234" s="4"/>
      <c r="Q234" s="63">
        <v>327500.51</v>
      </c>
      <c r="R234" s="4"/>
      <c r="S234" s="4">
        <v>371109.44</v>
      </c>
      <c r="T234" s="4"/>
      <c r="U234" s="4"/>
      <c r="V234" s="4">
        <v>0</v>
      </c>
      <c r="W234" s="4">
        <v>0</v>
      </c>
      <c r="X234" s="4">
        <v>0</v>
      </c>
      <c r="Y234" s="4">
        <v>0</v>
      </c>
      <c r="Z234" s="4">
        <v>10102750</v>
      </c>
      <c r="AA234" s="4">
        <v>0</v>
      </c>
    </row>
    <row r="235" spans="1:27" hidden="1" x14ac:dyDescent="0.2">
      <c r="A235" s="182"/>
      <c r="B235" s="182">
        <v>3934</v>
      </c>
      <c r="C235" s="60" t="s">
        <v>280</v>
      </c>
      <c r="D235" s="60" t="s">
        <v>1345</v>
      </c>
      <c r="E235" s="63"/>
      <c r="F235" s="63"/>
      <c r="G235" s="63"/>
      <c r="H235" s="63"/>
      <c r="I235" s="63"/>
      <c r="J235" s="4"/>
      <c r="K235" s="63"/>
      <c r="L235" s="4"/>
      <c r="M235" s="63"/>
      <c r="N235" s="4"/>
      <c r="O235" s="63">
        <v>2080827.55</v>
      </c>
      <c r="P235" s="4"/>
      <c r="Q235" s="63"/>
      <c r="R235" s="4">
        <v>4200000</v>
      </c>
      <c r="S235" s="4"/>
      <c r="T235" s="4"/>
      <c r="U235" s="4"/>
      <c r="V235" s="4"/>
      <c r="W235" s="4"/>
      <c r="X235" s="4"/>
      <c r="Y235" s="4"/>
      <c r="Z235" s="4"/>
      <c r="AA235" s="4"/>
    </row>
    <row r="236" spans="1:27" s="209" customFormat="1" ht="15" x14ac:dyDescent="0.35">
      <c r="A236" s="182">
        <v>424279210</v>
      </c>
      <c r="B236" s="182">
        <v>3934</v>
      </c>
      <c r="C236" s="60" t="s">
        <v>280</v>
      </c>
      <c r="D236" s="60" t="s">
        <v>1018</v>
      </c>
      <c r="E236" s="63"/>
      <c r="F236" s="63"/>
      <c r="G236" s="63"/>
      <c r="H236" s="63"/>
      <c r="I236" s="63"/>
      <c r="J236" s="4"/>
      <c r="K236" s="63"/>
      <c r="L236" s="4"/>
      <c r="M236" s="63"/>
      <c r="N236" s="4"/>
      <c r="O236" s="63"/>
      <c r="P236" s="4"/>
      <c r="Q236" s="63"/>
      <c r="R236" s="4"/>
      <c r="S236" s="4">
        <v>0</v>
      </c>
      <c r="T236" s="4"/>
      <c r="U236" s="33">
        <v>439646.28</v>
      </c>
      <c r="V236" s="33">
        <v>2676014</v>
      </c>
      <c r="W236" s="33">
        <v>80713</v>
      </c>
      <c r="X236" s="33">
        <v>7876</v>
      </c>
      <c r="Y236" s="33">
        <v>0</v>
      </c>
      <c r="Z236" s="33">
        <v>0</v>
      </c>
      <c r="AA236" s="33">
        <v>0</v>
      </c>
    </row>
    <row r="237" spans="1:27" ht="15" hidden="1" x14ac:dyDescent="0.35">
      <c r="A237" s="182"/>
      <c r="B237" s="182"/>
      <c r="C237" s="60" t="s">
        <v>280</v>
      </c>
      <c r="D237" s="60" t="s">
        <v>1644</v>
      </c>
      <c r="E237" s="63"/>
      <c r="F237" s="63"/>
      <c r="G237" s="63"/>
      <c r="H237" s="63"/>
      <c r="I237" s="63"/>
      <c r="J237" s="4"/>
      <c r="K237" s="63"/>
      <c r="L237" s="4"/>
      <c r="M237" s="63"/>
      <c r="N237" s="4"/>
      <c r="O237" s="63"/>
      <c r="P237" s="4"/>
      <c r="Q237" s="63"/>
      <c r="R237" s="4"/>
      <c r="S237" s="33">
        <v>0</v>
      </c>
      <c r="T237" s="33"/>
      <c r="U237" s="33">
        <v>0</v>
      </c>
      <c r="V237" s="33">
        <v>0</v>
      </c>
      <c r="W237" s="33">
        <v>0</v>
      </c>
      <c r="X237" s="33">
        <v>0</v>
      </c>
      <c r="Y237" s="33">
        <v>0</v>
      </c>
      <c r="Z237" s="33">
        <v>0</v>
      </c>
      <c r="AA237" s="33">
        <v>0</v>
      </c>
    </row>
    <row r="238" spans="1:27" ht="15" hidden="1" x14ac:dyDescent="0.35">
      <c r="A238" s="181">
        <v>311079220</v>
      </c>
      <c r="B238" s="181">
        <v>3934</v>
      </c>
      <c r="C238" s="135" t="s">
        <v>280</v>
      </c>
      <c r="D238" s="135" t="s">
        <v>1470</v>
      </c>
      <c r="E238" s="136">
        <v>0</v>
      </c>
      <c r="F238" s="136">
        <v>0</v>
      </c>
      <c r="G238" s="136">
        <v>0</v>
      </c>
      <c r="H238" s="136">
        <v>0</v>
      </c>
      <c r="I238" s="136">
        <v>0</v>
      </c>
      <c r="J238" s="137">
        <v>1640000</v>
      </c>
      <c r="K238" s="136">
        <v>0</v>
      </c>
      <c r="L238" s="137">
        <v>2824000</v>
      </c>
      <c r="M238" s="136">
        <v>1090436.75</v>
      </c>
      <c r="N238" s="137">
        <v>0</v>
      </c>
      <c r="O238" s="136">
        <v>11677.7</v>
      </c>
      <c r="P238" s="137">
        <v>0</v>
      </c>
      <c r="Q238" s="136"/>
      <c r="R238" s="137">
        <v>0</v>
      </c>
      <c r="S238" s="256">
        <v>0</v>
      </c>
      <c r="T238" s="256"/>
      <c r="U238" s="256">
        <v>0</v>
      </c>
      <c r="V238" s="256">
        <v>0</v>
      </c>
      <c r="W238" s="256"/>
      <c r="X238" s="256">
        <v>0</v>
      </c>
      <c r="Y238" s="256">
        <v>0</v>
      </c>
      <c r="Z238" s="256">
        <v>0</v>
      </c>
      <c r="AA238" s="256">
        <v>0</v>
      </c>
    </row>
    <row r="239" spans="1:27" x14ac:dyDescent="0.2">
      <c r="A239" s="60"/>
      <c r="B239" s="60"/>
      <c r="C239" s="60"/>
      <c r="D239" s="60"/>
      <c r="E239" s="63" t="e">
        <f>#N/A</f>
        <v>#N/A</v>
      </c>
      <c r="F239" s="63" t="e">
        <f>#N/A</f>
        <v>#N/A</v>
      </c>
      <c r="G239" s="63" t="e">
        <f>#N/A</f>
        <v>#N/A</v>
      </c>
      <c r="H239" s="63" t="e">
        <f>#N/A</f>
        <v>#N/A</v>
      </c>
      <c r="I239" s="63" t="e">
        <f>#N/A</f>
        <v>#N/A</v>
      </c>
      <c r="J239" s="63" t="e">
        <f>#N/A</f>
        <v>#N/A</v>
      </c>
      <c r="K239" s="63" t="e">
        <f>#N/A</f>
        <v>#N/A</v>
      </c>
      <c r="L239" s="63" t="e">
        <f>#N/A</f>
        <v>#N/A</v>
      </c>
      <c r="M239" s="63" t="e">
        <f>#N/A</f>
        <v>#N/A</v>
      </c>
      <c r="N239" s="4" t="e">
        <f>#N/A</f>
        <v>#N/A</v>
      </c>
      <c r="O239" s="63">
        <f>SUM(O208:O238)</f>
        <v>6439588.1299999999</v>
      </c>
      <c r="P239" s="4">
        <f>SUM(P208:P238)</f>
        <v>981902.28654545452</v>
      </c>
      <c r="Q239" s="4">
        <f>SUM(Q208:Q238)</f>
        <v>4085006.4800000004</v>
      </c>
      <c r="R239" s="4">
        <f>SUM(R208:R238)</f>
        <v>9931057</v>
      </c>
      <c r="S239" s="4">
        <f>SUM(S228:S238)</f>
        <v>371556.3</v>
      </c>
      <c r="T239" s="4">
        <f t="shared" ref="T239:AA239" si="17">SUM(T228:T238)</f>
        <v>0</v>
      </c>
      <c r="U239" s="4">
        <f t="shared" ref="U239:X239" si="18">SUM(U228:U238)</f>
        <v>439646.28</v>
      </c>
      <c r="V239" s="4">
        <f t="shared" si="18"/>
        <v>2726888</v>
      </c>
      <c r="W239" s="4">
        <f t="shared" si="18"/>
        <v>82218</v>
      </c>
      <c r="X239" s="4">
        <f t="shared" si="18"/>
        <v>7876</v>
      </c>
      <c r="Y239" s="4">
        <f t="shared" si="17"/>
        <v>0</v>
      </c>
      <c r="Z239" s="4">
        <f t="shared" ref="Z239" si="19">SUM(Z228:Z238)</f>
        <v>10102750</v>
      </c>
      <c r="AA239" s="4">
        <f t="shared" si="17"/>
        <v>0</v>
      </c>
    </row>
    <row r="240" spans="1:27" x14ac:dyDescent="0.2">
      <c r="A240" s="60"/>
      <c r="B240" s="60"/>
      <c r="C240" s="60"/>
      <c r="D240" s="60"/>
      <c r="E240" s="63"/>
      <c r="F240" s="63"/>
      <c r="G240" s="63"/>
      <c r="H240" s="63"/>
      <c r="I240" s="63"/>
      <c r="J240" s="63"/>
      <c r="K240" s="63"/>
      <c r="L240" s="63"/>
      <c r="M240" s="63"/>
      <c r="N240" s="4"/>
      <c r="O240" s="63"/>
      <c r="P240" s="4"/>
      <c r="Q240" s="4"/>
      <c r="R240" s="4"/>
      <c r="S240" s="4"/>
      <c r="T240" s="4"/>
      <c r="U240" s="4"/>
      <c r="V240" s="4"/>
      <c r="W240" s="4"/>
      <c r="X240" s="4"/>
      <c r="Y240" s="4"/>
      <c r="Z240" s="4"/>
      <c r="AA240" s="4"/>
    </row>
    <row r="241" spans="1:28" x14ac:dyDescent="0.2">
      <c r="A241" s="135"/>
      <c r="B241" s="135"/>
      <c r="C241" s="266" t="s">
        <v>519</v>
      </c>
      <c r="D241" s="136"/>
      <c r="E241" s="137" t="e">
        <f>#N/A</f>
        <v>#N/A</v>
      </c>
      <c r="F241" s="137" t="e">
        <f>#N/A</f>
        <v>#N/A</v>
      </c>
      <c r="G241" s="137" t="e">
        <f>#N/A</f>
        <v>#N/A</v>
      </c>
      <c r="H241" s="137" t="e">
        <f>#N/A</f>
        <v>#N/A</v>
      </c>
      <c r="I241" s="137" t="e">
        <f>#N/A</f>
        <v>#N/A</v>
      </c>
      <c r="J241" s="137" t="e">
        <f>#N/A</f>
        <v>#N/A</v>
      </c>
      <c r="K241" s="136" t="e">
        <f>#N/A</f>
        <v>#N/A</v>
      </c>
      <c r="L241" s="137" t="e">
        <f>#N/A</f>
        <v>#N/A</v>
      </c>
      <c r="M241" s="136" t="e">
        <f>#N/A</f>
        <v>#N/A</v>
      </c>
      <c r="N241" s="137" t="e">
        <f>#N/A</f>
        <v>#N/A</v>
      </c>
      <c r="O241" s="136">
        <f>+O239+O148+O190+O179+O200</f>
        <v>33205003.499999996</v>
      </c>
      <c r="P241" s="137">
        <f>+P239+P148+P190+P179+P200</f>
        <v>27259068.235636372</v>
      </c>
      <c r="Q241" s="137">
        <f>+Q239+Q148+Q190+Q179+Q200</f>
        <v>29783629.100000001</v>
      </c>
      <c r="R241" s="137">
        <f>+R239+R148+R190+R179+R200</f>
        <v>39218430.414727271</v>
      </c>
      <c r="S241" s="260">
        <f t="shared" ref="S241:AA241" si="20">+S239+S148+S190+S179+S200+S215</f>
        <v>30081982.400000002</v>
      </c>
      <c r="T241" s="260">
        <f t="shared" si="20"/>
        <v>29007041</v>
      </c>
      <c r="U241" s="260">
        <f t="shared" si="20"/>
        <v>34253379.910000004</v>
      </c>
      <c r="V241" s="260">
        <f t="shared" si="20"/>
        <v>35252151.339999996</v>
      </c>
      <c r="W241" s="260">
        <f t="shared" si="20"/>
        <v>37400945.5</v>
      </c>
      <c r="X241" s="260">
        <f t="shared" si="20"/>
        <v>37509841</v>
      </c>
      <c r="Y241" s="260">
        <f t="shared" si="20"/>
        <v>40995139.030000001</v>
      </c>
      <c r="Z241" s="260">
        <f t="shared" si="20"/>
        <v>48846386</v>
      </c>
      <c r="AA241" s="260">
        <f t="shared" si="20"/>
        <v>41759870</v>
      </c>
      <c r="AB241" s="3">
        <f>AA241-'SUMMARY BY FUND'!H54</f>
        <v>41759870</v>
      </c>
    </row>
    <row r="242" spans="1:28" x14ac:dyDescent="0.2">
      <c r="A242" s="60"/>
      <c r="B242" s="60"/>
      <c r="C242" s="60"/>
      <c r="D242" s="63"/>
      <c r="E242" s="4"/>
      <c r="F242" s="4"/>
      <c r="G242" s="4"/>
      <c r="H242" s="4"/>
      <c r="I242" s="4"/>
      <c r="J242" s="4"/>
      <c r="K242" s="63"/>
      <c r="L242" s="4"/>
      <c r="M242" s="63"/>
      <c r="N242" s="4"/>
      <c r="O242" s="63"/>
      <c r="P242" s="4"/>
      <c r="Q242" s="4"/>
      <c r="R242" s="4"/>
      <c r="S242" s="4"/>
      <c r="T242" s="4"/>
      <c r="U242" s="4"/>
      <c r="V242" s="4"/>
      <c r="W242" s="4"/>
      <c r="X242" s="4"/>
      <c r="Y242" s="4"/>
      <c r="Z242" s="4"/>
      <c r="AA242" s="4"/>
    </row>
    <row r="243" spans="1:28" s="9" customFormat="1" x14ac:dyDescent="0.2">
      <c r="A243" s="10"/>
      <c r="B243" s="10"/>
      <c r="C243" s="10" t="s">
        <v>784</v>
      </c>
      <c r="D243" s="10"/>
      <c r="E243" s="15"/>
      <c r="F243" s="15">
        <v>27254064.239999998</v>
      </c>
      <c r="G243" s="15"/>
      <c r="H243" s="15">
        <f>-121140.05+25492.5+25732150.06</f>
        <v>25636502.509999998</v>
      </c>
      <c r="I243" s="15" t="e">
        <f>27707254-I241</f>
        <v>#N/A</v>
      </c>
      <c r="J243" s="3"/>
      <c r="K243" s="15">
        <v>26300326.010000002</v>
      </c>
      <c r="L243" s="10"/>
      <c r="M243" s="15">
        <v>26853111.84</v>
      </c>
      <c r="N243" s="3"/>
      <c r="O243" s="15">
        <v>28323354.649999999</v>
      </c>
      <c r="P243" s="3"/>
      <c r="Q243" s="15">
        <v>29140031.539999999</v>
      </c>
      <c r="R243" s="3"/>
      <c r="S243" s="3">
        <v>30166575.300000001</v>
      </c>
      <c r="T243" s="3"/>
      <c r="U243" s="3">
        <v>31112821.02</v>
      </c>
      <c r="V243" s="3">
        <v>34582137.530000001</v>
      </c>
      <c r="W243" s="3">
        <v>32654810.68</v>
      </c>
      <c r="X243" s="3">
        <v>35331703</v>
      </c>
      <c r="Y243" s="3">
        <f>42388435-334854-860-87120-99-40</f>
        <v>41965462</v>
      </c>
      <c r="Z243" s="3"/>
      <c r="AA243" s="64"/>
    </row>
    <row r="244" spans="1:28" ht="15" x14ac:dyDescent="0.35">
      <c r="C244" s="10" t="s">
        <v>1477</v>
      </c>
      <c r="E244" s="46"/>
      <c r="F244" s="46">
        <v>-141886</v>
      </c>
      <c r="G244" s="46"/>
      <c r="H244" s="46">
        <v>-25492.5</v>
      </c>
      <c r="K244" s="46">
        <v>0</v>
      </c>
      <c r="M244" s="46">
        <v>-86987</v>
      </c>
      <c r="O244" s="46">
        <v>0</v>
      </c>
      <c r="P244" s="3"/>
      <c r="Q244" s="46">
        <v>-104900</v>
      </c>
      <c r="R244" s="3"/>
      <c r="S244" s="14">
        <v>-92535</v>
      </c>
      <c r="U244" s="14">
        <v>0</v>
      </c>
      <c r="V244" s="14">
        <v>-20278</v>
      </c>
      <c r="W244" s="14">
        <v>-900</v>
      </c>
      <c r="X244" s="14">
        <v>-1500</v>
      </c>
      <c r="Y244" s="14">
        <v>-6264</v>
      </c>
    </row>
    <row r="245" spans="1:28" x14ac:dyDescent="0.2">
      <c r="C245" s="10" t="s">
        <v>1865</v>
      </c>
      <c r="E245" s="15"/>
      <c r="F245" s="15">
        <f>SUM(F243:F244)</f>
        <v>27112178.239999998</v>
      </c>
      <c r="G245" s="15"/>
      <c r="H245" s="15">
        <f>SUM(H243:H244)</f>
        <v>25611010.009999998</v>
      </c>
      <c r="K245" s="15">
        <f>SUM(K243:K244)</f>
        <v>26300326.010000002</v>
      </c>
      <c r="M245" s="15">
        <f>SUM(M243:M244)</f>
        <v>26766124.84</v>
      </c>
      <c r="O245" s="15">
        <f>SUM(O243:O244)</f>
        <v>28323354.649999999</v>
      </c>
      <c r="P245" s="3"/>
      <c r="Q245" s="15">
        <f>SUM(Q243:Q244)</f>
        <v>29035131.539999999</v>
      </c>
      <c r="R245" s="3"/>
      <c r="S245" s="3">
        <f>SUM(S243:S244)</f>
        <v>30074040.300000001</v>
      </c>
      <c r="U245" s="3">
        <f>SUM(U243:U244)</f>
        <v>31112821.02</v>
      </c>
      <c r="V245" s="3">
        <f>SUM(V243:V244)</f>
        <v>34561859.530000001</v>
      </c>
      <c r="W245" s="3">
        <f>SUM(W243:W244)</f>
        <v>32653910.68</v>
      </c>
      <c r="X245" s="3">
        <f>SUM(X243:X244)</f>
        <v>35330203</v>
      </c>
      <c r="Y245" s="3">
        <f>SUM(Y243:Y244)</f>
        <v>41959198</v>
      </c>
    </row>
    <row r="246" spans="1:28" x14ac:dyDescent="0.2">
      <c r="C246" s="10" t="s">
        <v>786</v>
      </c>
      <c r="E246" s="15"/>
      <c r="F246" s="15">
        <f>+F33</f>
        <v>-389616.16</v>
      </c>
      <c r="G246" s="15"/>
      <c r="H246" s="15">
        <f>+H33</f>
        <v>81693.919999999998</v>
      </c>
      <c r="K246" s="15">
        <f>+K33</f>
        <v>40951.18</v>
      </c>
      <c r="M246" s="15">
        <f>+M33</f>
        <v>-191880.9</v>
      </c>
      <c r="N246" s="15">
        <f>+N33</f>
        <v>0</v>
      </c>
      <c r="O246" s="15">
        <f>+O33</f>
        <v>-577132.15</v>
      </c>
      <c r="P246" s="15">
        <f>+P33</f>
        <v>0</v>
      </c>
      <c r="Q246" s="15">
        <f>+Q33</f>
        <v>-1107530.76</v>
      </c>
      <c r="R246" s="3"/>
      <c r="S246" s="3">
        <f>+S33</f>
        <v>-630870.76</v>
      </c>
      <c r="U246" s="3">
        <f>+U33</f>
        <v>-1036734.35</v>
      </c>
      <c r="V246" s="3">
        <f>+V33</f>
        <v>-2407826.77</v>
      </c>
      <c r="W246" s="3">
        <f>+W33</f>
        <v>-143070</v>
      </c>
      <c r="X246" s="3">
        <f>+X33</f>
        <v>-515333</v>
      </c>
      <c r="Y246" s="3">
        <f>+Y33</f>
        <v>421090</v>
      </c>
    </row>
    <row r="247" spans="1:28" x14ac:dyDescent="0.2">
      <c r="C247" s="10" t="s">
        <v>1860</v>
      </c>
      <c r="E247" s="15"/>
      <c r="F247" s="15"/>
      <c r="G247" s="15"/>
      <c r="H247" s="15"/>
      <c r="K247" s="15"/>
      <c r="N247" s="15"/>
      <c r="O247" s="15">
        <f>-O84</f>
        <v>0</v>
      </c>
      <c r="P247" s="15">
        <f>-P84</f>
        <v>0</v>
      </c>
      <c r="Q247" s="15">
        <f>-Q84</f>
        <v>0</v>
      </c>
      <c r="R247" s="15">
        <f>-R84</f>
        <v>0</v>
      </c>
      <c r="S247" s="3">
        <f t="shared" ref="S247:Y247" si="21">S84</f>
        <v>107673.14</v>
      </c>
      <c r="T247" s="3">
        <f t="shared" si="21"/>
        <v>0</v>
      </c>
      <c r="U247" s="3">
        <f t="shared" si="21"/>
        <v>245146</v>
      </c>
      <c r="V247" s="3">
        <f t="shared" si="21"/>
        <v>-127974</v>
      </c>
      <c r="W247" s="3">
        <f t="shared" si="21"/>
        <v>-2205</v>
      </c>
      <c r="X247" s="3">
        <f t="shared" si="21"/>
        <v>-9838</v>
      </c>
      <c r="Y247" s="3">
        <f t="shared" si="21"/>
        <v>3755</v>
      </c>
    </row>
    <row r="248" spans="1:28" x14ac:dyDescent="0.2">
      <c r="C248" s="10" t="s">
        <v>787</v>
      </c>
      <c r="E248" s="15"/>
      <c r="F248" s="15">
        <f>+F176</f>
        <v>4739373.79</v>
      </c>
      <c r="G248" s="15"/>
      <c r="H248" s="15">
        <f>+H176</f>
        <v>152605.16</v>
      </c>
      <c r="K248" s="15">
        <f>+K176</f>
        <v>-113932.75</v>
      </c>
      <c r="M248" s="15">
        <f>+M176</f>
        <v>528353</v>
      </c>
      <c r="O248" s="15">
        <f>+O176</f>
        <v>439978.93</v>
      </c>
      <c r="P248" s="3"/>
      <c r="Q248" s="15">
        <f>+Q176</f>
        <v>-174281.65</v>
      </c>
      <c r="R248" s="3"/>
      <c r="S248" s="3">
        <f>+S176</f>
        <v>112903.82</v>
      </c>
      <c r="U248" s="3">
        <f>+U176</f>
        <v>-271532</v>
      </c>
      <c r="V248" s="3">
        <f>+V176</f>
        <v>-762353.15</v>
      </c>
      <c r="W248" s="3">
        <f>+W176</f>
        <v>-1004314</v>
      </c>
      <c r="X248" s="3">
        <f>+X176</f>
        <v>-67351</v>
      </c>
      <c r="Y248" s="3">
        <f>+Y176</f>
        <v>-1669230</v>
      </c>
    </row>
    <row r="249" spans="1:28" x14ac:dyDescent="0.2">
      <c r="C249" s="10" t="s">
        <v>788</v>
      </c>
      <c r="E249" s="15"/>
      <c r="F249" s="15">
        <f>+F189</f>
        <v>-94010.240000000005</v>
      </c>
      <c r="G249" s="15"/>
      <c r="H249" s="15">
        <f>+H189</f>
        <v>-57966.45</v>
      </c>
      <c r="K249" s="15">
        <f>+K189</f>
        <v>174660.22</v>
      </c>
      <c r="M249" s="15">
        <f>+M189</f>
        <v>-54091.550000000017</v>
      </c>
      <c r="O249" s="15">
        <f>+O189</f>
        <v>243161.55</v>
      </c>
      <c r="P249" s="3"/>
      <c r="Q249" s="15">
        <f>+Q189</f>
        <v>-28061.43</v>
      </c>
      <c r="R249" s="3"/>
      <c r="S249" s="3">
        <f>+S189</f>
        <v>44974.879999999997</v>
      </c>
      <c r="U249" s="3">
        <f>+U189</f>
        <v>-2387</v>
      </c>
      <c r="V249" s="3">
        <f>+V189</f>
        <v>127491</v>
      </c>
      <c r="W249" s="3">
        <f>+W189</f>
        <v>153670</v>
      </c>
      <c r="X249" s="3">
        <f>+X189</f>
        <v>193686</v>
      </c>
      <c r="Y249" s="3">
        <f>+Y189</f>
        <v>179401</v>
      </c>
    </row>
    <row r="250" spans="1:28" x14ac:dyDescent="0.2">
      <c r="C250" s="10" t="s">
        <v>789</v>
      </c>
      <c r="E250" s="15"/>
      <c r="F250" s="15">
        <f>+F199</f>
        <v>7626.99</v>
      </c>
      <c r="G250" s="15"/>
      <c r="H250" s="15">
        <f>+H199</f>
        <v>-3590.7</v>
      </c>
      <c r="K250" s="15">
        <f>+K199</f>
        <v>-1190.08</v>
      </c>
      <c r="M250" s="15">
        <f>+M199</f>
        <v>-9481.1</v>
      </c>
      <c r="O250" s="15">
        <f>+O199</f>
        <v>-8327.23</v>
      </c>
      <c r="P250" s="3"/>
      <c r="Q250" s="15">
        <f>+Q199</f>
        <v>-3208.97</v>
      </c>
      <c r="R250" s="3"/>
      <c r="S250" s="3">
        <f>+S199</f>
        <v>-793.79</v>
      </c>
      <c r="U250" s="3">
        <f>+U199</f>
        <v>-14076</v>
      </c>
      <c r="V250" s="3">
        <f>+V199</f>
        <v>-9677.4</v>
      </c>
      <c r="W250" s="3">
        <f>+W199</f>
        <v>5243</v>
      </c>
      <c r="X250" s="3">
        <f>+X199</f>
        <v>5667</v>
      </c>
      <c r="Y250" s="3">
        <f>+Y199</f>
        <v>6006</v>
      </c>
    </row>
    <row r="251" spans="1:28" hidden="1" x14ac:dyDescent="0.2">
      <c r="C251" s="10" t="s">
        <v>790</v>
      </c>
      <c r="E251" s="15"/>
      <c r="F251" s="15">
        <v>0</v>
      </c>
      <c r="G251" s="15"/>
      <c r="H251" s="15">
        <v>0</v>
      </c>
      <c r="K251" s="15">
        <v>0</v>
      </c>
      <c r="M251" s="15">
        <v>0</v>
      </c>
      <c r="O251" s="15">
        <v>0</v>
      </c>
      <c r="P251" s="3"/>
      <c r="Q251" s="15">
        <v>0</v>
      </c>
      <c r="R251" s="3"/>
      <c r="S251" s="3">
        <v>0</v>
      </c>
      <c r="U251" s="3">
        <v>0</v>
      </c>
      <c r="V251" s="3">
        <v>0</v>
      </c>
      <c r="W251" s="3">
        <v>0</v>
      </c>
      <c r="X251" s="3">
        <v>0</v>
      </c>
      <c r="Y251" s="3">
        <v>0</v>
      </c>
    </row>
    <row r="252" spans="1:28" hidden="1" x14ac:dyDescent="0.2">
      <c r="C252" s="10" t="s">
        <v>1396</v>
      </c>
      <c r="E252" s="15"/>
      <c r="F252" s="15">
        <v>0</v>
      </c>
      <c r="G252" s="15"/>
      <c r="H252" s="15">
        <v>0</v>
      </c>
      <c r="K252" s="15">
        <v>0</v>
      </c>
      <c r="M252" s="15">
        <v>0</v>
      </c>
      <c r="O252" s="15">
        <v>0</v>
      </c>
      <c r="P252" s="3"/>
      <c r="Q252" s="15">
        <v>0</v>
      </c>
      <c r="R252" s="3"/>
      <c r="S252" s="3">
        <v>0</v>
      </c>
      <c r="U252" s="3">
        <v>0</v>
      </c>
      <c r="V252" s="3">
        <v>0</v>
      </c>
      <c r="W252" s="3">
        <v>0</v>
      </c>
      <c r="X252" s="3">
        <v>0</v>
      </c>
      <c r="Y252" s="3">
        <v>0</v>
      </c>
    </row>
    <row r="253" spans="1:28" x14ac:dyDescent="0.2">
      <c r="C253" s="10" t="s">
        <v>307</v>
      </c>
      <c r="E253" s="15"/>
      <c r="F253" s="15">
        <v>0</v>
      </c>
      <c r="G253" s="15"/>
      <c r="H253" s="15">
        <v>0</v>
      </c>
      <c r="K253" s="15">
        <f>+K229</f>
        <v>579728.69999999995</v>
      </c>
      <c r="M253" s="15">
        <f>+M229</f>
        <v>-3756.56</v>
      </c>
      <c r="O253" s="15">
        <f>+O229</f>
        <v>898692.86999999988</v>
      </c>
      <c r="P253" s="15">
        <f>+P232+P229</f>
        <v>0</v>
      </c>
      <c r="R253" s="15">
        <f>+R232+R229</f>
        <v>0</v>
      </c>
      <c r="T253" s="3">
        <f>+T232+T229</f>
        <v>0</v>
      </c>
      <c r="U253" s="3">
        <f>+U232+U229</f>
        <v>0</v>
      </c>
      <c r="V253" s="3">
        <f>+V232+V229</f>
        <v>0</v>
      </c>
      <c r="W253" s="3">
        <f>+W236</f>
        <v>80713</v>
      </c>
      <c r="X253" s="3">
        <f>+X236</f>
        <v>7876</v>
      </c>
      <c r="Y253" s="3">
        <f>+Y236</f>
        <v>0</v>
      </c>
    </row>
    <row r="254" spans="1:28" x14ac:dyDescent="0.2">
      <c r="C254" s="10" t="s">
        <v>1646</v>
      </c>
      <c r="E254" s="15"/>
      <c r="F254" s="15"/>
      <c r="G254" s="15"/>
      <c r="H254" s="15"/>
      <c r="K254" s="15"/>
      <c r="O254" s="15">
        <f t="shared" ref="O254:W254" si="22">+O235+O233+O234</f>
        <v>2080827.55</v>
      </c>
      <c r="P254" s="15">
        <f t="shared" si="22"/>
        <v>0</v>
      </c>
      <c r="Q254" s="15">
        <f t="shared" si="22"/>
        <v>327500.51</v>
      </c>
      <c r="R254" s="15">
        <f t="shared" si="22"/>
        <v>7075000</v>
      </c>
      <c r="S254" s="3">
        <f t="shared" si="22"/>
        <v>371109.44</v>
      </c>
      <c r="T254" s="3">
        <f t="shared" si="22"/>
        <v>0</v>
      </c>
      <c r="U254" s="3">
        <f t="shared" si="22"/>
        <v>0</v>
      </c>
      <c r="V254" s="3">
        <f t="shared" si="22"/>
        <v>0</v>
      </c>
      <c r="W254" s="3">
        <f t="shared" si="22"/>
        <v>0</v>
      </c>
      <c r="X254" s="3">
        <f>+X235+X233+X234</f>
        <v>0</v>
      </c>
      <c r="Y254" s="3">
        <v>0</v>
      </c>
    </row>
    <row r="255" spans="1:28" ht="15" x14ac:dyDescent="0.35">
      <c r="C255" s="10" t="s">
        <v>791</v>
      </c>
      <c r="E255" s="46"/>
      <c r="F255" s="46" t="e">
        <f>+#REF!</f>
        <v>#REF!</v>
      </c>
      <c r="G255" s="46"/>
      <c r="H255" s="46" t="e">
        <f>+#REF!</f>
        <v>#REF!</v>
      </c>
      <c r="I255" s="46"/>
      <c r="K255" s="46" t="e">
        <f>+#REF!</f>
        <v>#REF!</v>
      </c>
      <c r="M255" s="46" t="e">
        <f>+#REF!</f>
        <v>#REF!</v>
      </c>
      <c r="N255" s="46" t="e">
        <f>+#REF!</f>
        <v>#REF!</v>
      </c>
      <c r="O255" s="46" t="e">
        <f>+#REF!</f>
        <v>#REF!</v>
      </c>
      <c r="P255" s="46" t="e">
        <f>+#REF!</f>
        <v>#REF!</v>
      </c>
      <c r="Q255" s="46" t="e">
        <f>+#REF!</f>
        <v>#REF!</v>
      </c>
      <c r="R255" s="46" t="e">
        <f>+#REF!</f>
        <v>#REF!</v>
      </c>
      <c r="S255" s="14">
        <f t="shared" ref="S255:Y255" si="23">+S212</f>
        <v>2945.37</v>
      </c>
      <c r="T255" s="14">
        <f t="shared" si="23"/>
        <v>0</v>
      </c>
      <c r="U255" s="14">
        <f t="shared" si="23"/>
        <v>2760</v>
      </c>
      <c r="V255" s="14">
        <f t="shared" si="23"/>
        <v>-5404.63</v>
      </c>
      <c r="W255" s="14">
        <f t="shared" si="23"/>
        <v>0</v>
      </c>
      <c r="X255" s="14">
        <f t="shared" si="23"/>
        <v>148</v>
      </c>
      <c r="Y255" s="14">
        <f t="shared" si="23"/>
        <v>0</v>
      </c>
    </row>
    <row r="256" spans="1:28" x14ac:dyDescent="0.2">
      <c r="C256" s="10" t="s">
        <v>785</v>
      </c>
      <c r="E256" s="15"/>
      <c r="F256" s="15" t="e">
        <f>SUM(F245:F255)</f>
        <v>#REF!</v>
      </c>
      <c r="G256" s="15"/>
      <c r="H256" s="15" t="e">
        <f>SUM(H245:H255)</f>
        <v>#REF!</v>
      </c>
      <c r="K256" s="15" t="e">
        <f>SUM(K245:K255)</f>
        <v>#REF!</v>
      </c>
      <c r="M256" s="15" t="e">
        <f>SUM(M245:M255)</f>
        <v>#REF!</v>
      </c>
      <c r="O256" s="15" t="e">
        <f>SUM(O245:O255)</f>
        <v>#REF!</v>
      </c>
      <c r="P256" s="3"/>
      <c r="Q256" s="15" t="e">
        <f>SUM(Q245:Q255)</f>
        <v>#REF!</v>
      </c>
      <c r="R256" s="3"/>
      <c r="S256" s="3">
        <f>SUM(S245:S255)</f>
        <v>30081982.400000002</v>
      </c>
      <c r="U256" s="3">
        <f>SUM(U245:U255)</f>
        <v>30035997.669999998</v>
      </c>
      <c r="V256" s="3">
        <f>SUM(V245:V255)</f>
        <v>31376114.580000006</v>
      </c>
      <c r="W256" s="3">
        <f>SUM(W245:W255)</f>
        <v>31743947.68</v>
      </c>
      <c r="X256" s="3">
        <f>SUM(X245:X255)</f>
        <v>34945058</v>
      </c>
      <c r="Y256" s="3">
        <f>SUM(Y245:Y255)</f>
        <v>40900220</v>
      </c>
    </row>
    <row r="257" spans="3:27" x14ac:dyDescent="0.2">
      <c r="K257" s="15"/>
      <c r="P257" s="3"/>
      <c r="R257" s="3"/>
    </row>
    <row r="258" spans="3:27" x14ac:dyDescent="0.2">
      <c r="K258" s="15"/>
      <c r="P258" s="3"/>
      <c r="R258" s="3"/>
    </row>
    <row r="259" spans="3:27" x14ac:dyDescent="0.2">
      <c r="C259" s="10" t="s">
        <v>792</v>
      </c>
      <c r="F259" s="15">
        <v>31490115.579999998</v>
      </c>
      <c r="G259" s="15"/>
      <c r="H259" s="15">
        <f>25492.5+25813124.58</f>
        <v>25838617.079999998</v>
      </c>
      <c r="K259" s="15">
        <v>26992481.260000002</v>
      </c>
      <c r="M259" s="15">
        <v>27112810.370000001</v>
      </c>
      <c r="O259" s="15">
        <v>31398188.460000001</v>
      </c>
      <c r="P259" s="3"/>
      <c r="Q259" s="15">
        <v>28146159.649999999</v>
      </c>
      <c r="R259" s="3"/>
      <c r="S259" s="3">
        <v>30174517.399999999</v>
      </c>
      <c r="U259" s="3">
        <v>33432334.640000001</v>
      </c>
      <c r="V259" s="3">
        <v>33254503.809999999</v>
      </c>
      <c r="W259" s="3">
        <v>31851703.27</v>
      </c>
      <c r="X259" s="3">
        <v>37402442</v>
      </c>
      <c r="Y259" s="3">
        <v>48870412</v>
      </c>
    </row>
    <row r="260" spans="3:27" ht="15" x14ac:dyDescent="0.35">
      <c r="C260" s="10" t="s">
        <v>1477</v>
      </c>
      <c r="F260" s="46">
        <f>+F244</f>
        <v>-141886</v>
      </c>
      <c r="G260" s="46"/>
      <c r="H260" s="46">
        <f>+H244</f>
        <v>-25492.5</v>
      </c>
      <c r="K260" s="46">
        <f>+K244</f>
        <v>0</v>
      </c>
      <c r="M260" s="46">
        <f>+M244</f>
        <v>-86987</v>
      </c>
      <c r="O260" s="46">
        <f>+O244</f>
        <v>0</v>
      </c>
      <c r="P260" s="3"/>
      <c r="Q260" s="46">
        <f>+Q244</f>
        <v>-104900</v>
      </c>
      <c r="R260" s="3"/>
      <c r="S260" s="14">
        <f>+S244</f>
        <v>-92535</v>
      </c>
      <c r="U260" s="14">
        <f>+U244</f>
        <v>0</v>
      </c>
      <c r="V260" s="14">
        <f>+V244</f>
        <v>-20278</v>
      </c>
      <c r="W260" s="14">
        <f>+W244</f>
        <v>-900</v>
      </c>
      <c r="X260" s="14">
        <f>+X244</f>
        <v>-1500</v>
      </c>
      <c r="Y260" s="14">
        <f>+Y244</f>
        <v>-6264</v>
      </c>
    </row>
    <row r="261" spans="3:27" x14ac:dyDescent="0.2">
      <c r="C261" s="10" t="s">
        <v>793</v>
      </c>
      <c r="F261" s="15">
        <f>SUM(F259:F260)</f>
        <v>31348229.579999998</v>
      </c>
      <c r="G261" s="15"/>
      <c r="H261" s="15">
        <f>SUM(H259:H260)</f>
        <v>25813124.579999998</v>
      </c>
      <c r="K261" s="15">
        <f>SUM(K259:K260)</f>
        <v>26992481.260000002</v>
      </c>
      <c r="M261" s="15">
        <f>SUM(M259:M260)</f>
        <v>27025823.370000001</v>
      </c>
      <c r="O261" s="15">
        <f>SUM(O259:O260)</f>
        <v>31398188.460000001</v>
      </c>
      <c r="P261" s="3"/>
      <c r="Q261" s="15">
        <f>SUM(Q259:Q260)</f>
        <v>28041259.649999999</v>
      </c>
      <c r="R261" s="3"/>
      <c r="S261" s="3">
        <f>SUM(S259:S260)</f>
        <v>30081982.399999999</v>
      </c>
      <c r="U261" s="3">
        <f>SUM(U259:U260)</f>
        <v>33432334.640000001</v>
      </c>
      <c r="V261" s="3">
        <f>SUM(V259:V260)</f>
        <v>33234225.809999999</v>
      </c>
      <c r="W261" s="3">
        <f>SUM(W259:W260)</f>
        <v>31850803.27</v>
      </c>
      <c r="X261" s="3">
        <f>SUM(X259:X260)</f>
        <v>37400942</v>
      </c>
      <c r="Y261" s="3">
        <f>SUM(Y259:Y260)</f>
        <v>48864148</v>
      </c>
    </row>
    <row r="262" spans="3:27" x14ac:dyDescent="0.2">
      <c r="F262" s="15"/>
      <c r="H262" s="15"/>
      <c r="K262" s="15"/>
      <c r="O262" s="15" t="e">
        <f>+O261-O256</f>
        <v>#REF!</v>
      </c>
      <c r="Q262" s="15" t="e">
        <f>+Q261-Q256</f>
        <v>#REF!</v>
      </c>
      <c r="R262" s="3"/>
      <c r="S262" s="3">
        <f>+S261-S256</f>
        <v>0</v>
      </c>
      <c r="U262" s="3">
        <f>+U261-U256</f>
        <v>3396336.9700000025</v>
      </c>
      <c r="V262" s="3">
        <f>+V261-V256</f>
        <v>1858111.229999993</v>
      </c>
      <c r="W262" s="3">
        <f>+W261-W256</f>
        <v>106855.58999999985</v>
      </c>
      <c r="X262" s="3">
        <f>+X261-X256</f>
        <v>2455884</v>
      </c>
      <c r="Y262" s="3">
        <f>+Y261-Y256</f>
        <v>7963928</v>
      </c>
    </row>
    <row r="263" spans="3:27" x14ac:dyDescent="0.2">
      <c r="K263" s="15"/>
      <c r="R263" s="3"/>
    </row>
    <row r="264" spans="3:27" x14ac:dyDescent="0.2">
      <c r="K264" s="15"/>
      <c r="O264" s="15">
        <f>+O261-O241</f>
        <v>-1806815.0399999954</v>
      </c>
      <c r="P264" s="15">
        <f t="shared" ref="P264:W264" si="24">+P261-P241</f>
        <v>-27259068.235636372</v>
      </c>
      <c r="Q264" s="15">
        <f t="shared" si="24"/>
        <v>-1742369.450000003</v>
      </c>
      <c r="R264" s="15">
        <f t="shared" si="24"/>
        <v>-39218430.414727271</v>
      </c>
      <c r="S264" s="3">
        <f t="shared" si="24"/>
        <v>0</v>
      </c>
      <c r="T264" s="3">
        <f t="shared" si="24"/>
        <v>-29007041</v>
      </c>
      <c r="U264" s="3">
        <f t="shared" si="24"/>
        <v>-821045.27000000328</v>
      </c>
      <c r="V264" s="3">
        <f t="shared" si="24"/>
        <v>-2017925.5299999975</v>
      </c>
      <c r="W264" s="3">
        <f t="shared" si="24"/>
        <v>-5550142.2300000004</v>
      </c>
      <c r="X264" s="3">
        <f>+X261-X241</f>
        <v>-108899</v>
      </c>
      <c r="Y264" s="3">
        <f>+Y261-Y241</f>
        <v>7869008.9699999988</v>
      </c>
    </row>
    <row r="265" spans="3:27" x14ac:dyDescent="0.2">
      <c r="C265" s="10" t="s">
        <v>794</v>
      </c>
      <c r="E265" s="3">
        <f>-E123</f>
        <v>-12875413</v>
      </c>
      <c r="F265" s="3"/>
      <c r="G265" s="3">
        <f>-G123</f>
        <v>-12151669</v>
      </c>
      <c r="H265" s="3"/>
      <c r="I265" s="3">
        <f>-I123</f>
        <v>0</v>
      </c>
      <c r="J265" s="3">
        <f>-J123</f>
        <v>-12915864</v>
      </c>
      <c r="K265" s="15"/>
      <c r="L265" s="3">
        <f>-L123</f>
        <v>-12904076</v>
      </c>
      <c r="N265" s="3">
        <f>-N130</f>
        <v>-28.053548387096775</v>
      </c>
      <c r="R265" s="3">
        <f>-R123</f>
        <v>-14134235</v>
      </c>
      <c r="T265" s="3">
        <f>-T123</f>
        <v>-14775898</v>
      </c>
      <c r="Z265" s="3">
        <f>-Z123</f>
        <v>-18581644</v>
      </c>
      <c r="AA265" s="3">
        <f>-AA123</f>
        <v>-19965176</v>
      </c>
    </row>
    <row r="266" spans="3:27" x14ac:dyDescent="0.2">
      <c r="C266" s="10" t="s">
        <v>811</v>
      </c>
      <c r="E266" s="3">
        <f>-E132</f>
        <v>420599</v>
      </c>
      <c r="F266" s="3"/>
      <c r="G266" s="3">
        <f>-G132</f>
        <v>383000</v>
      </c>
      <c r="H266" s="3"/>
      <c r="I266" s="3">
        <f>-I132</f>
        <v>394829</v>
      </c>
      <c r="J266" s="3">
        <f>-J132</f>
        <v>395064</v>
      </c>
      <c r="K266" s="15"/>
      <c r="L266" s="3">
        <f>-L132</f>
        <v>349425</v>
      </c>
      <c r="N266" s="3">
        <f>-N139</f>
        <v>-86634.516129032301</v>
      </c>
      <c r="R266" s="3">
        <f>-R132</f>
        <v>325000</v>
      </c>
      <c r="T266" s="3">
        <v>322233</v>
      </c>
      <c r="Z266" s="3">
        <f>-Z132</f>
        <v>332507</v>
      </c>
      <c r="AA266" s="3">
        <v>350000</v>
      </c>
    </row>
    <row r="267" spans="3:27" x14ac:dyDescent="0.2">
      <c r="C267" s="10" t="s">
        <v>795</v>
      </c>
      <c r="E267" s="3">
        <f>-E33</f>
        <v>-553433</v>
      </c>
      <c r="F267" s="3"/>
      <c r="G267" s="3">
        <f>-G33</f>
        <v>-500000</v>
      </c>
      <c r="H267" s="3"/>
      <c r="I267" s="3">
        <f>-I33</f>
        <v>-1383646</v>
      </c>
      <c r="J267" s="3">
        <f>-J33</f>
        <v>0</v>
      </c>
      <c r="K267" s="15"/>
      <c r="L267" s="3">
        <f>-L33</f>
        <v>-65000</v>
      </c>
      <c r="N267" s="3">
        <f>-N33</f>
        <v>0</v>
      </c>
      <c r="R267" s="3">
        <f>-R33</f>
        <v>0</v>
      </c>
      <c r="T267" s="3">
        <f>-T33</f>
        <v>0</v>
      </c>
      <c r="Z267" s="3">
        <f>-Z33</f>
        <v>-1350000</v>
      </c>
      <c r="AA267" s="3">
        <f>-AA33</f>
        <v>-2384500</v>
      </c>
    </row>
    <row r="268" spans="3:27" x14ac:dyDescent="0.2">
      <c r="C268" s="10" t="s">
        <v>796</v>
      </c>
      <c r="E268" s="3">
        <v>0</v>
      </c>
      <c r="F268" s="3"/>
      <c r="G268" s="3">
        <v>0</v>
      </c>
      <c r="H268" s="3"/>
      <c r="I268" s="3">
        <v>0</v>
      </c>
      <c r="J268" s="3">
        <v>0</v>
      </c>
      <c r="K268" s="15"/>
      <c r="L268" s="3">
        <v>0</v>
      </c>
      <c r="N268" s="3">
        <v>0</v>
      </c>
      <c r="R268" s="3">
        <v>0</v>
      </c>
      <c r="T268" s="3">
        <v>0</v>
      </c>
      <c r="Z268" s="3">
        <v>0</v>
      </c>
      <c r="AA268" s="3">
        <v>0</v>
      </c>
    </row>
    <row r="269" spans="3:27" x14ac:dyDescent="0.2">
      <c r="C269" s="10" t="s">
        <v>797</v>
      </c>
      <c r="E269" s="21">
        <v>0</v>
      </c>
      <c r="F269" s="21"/>
      <c r="G269" s="21">
        <v>0</v>
      </c>
      <c r="H269" s="21"/>
      <c r="I269" s="21">
        <v>0</v>
      </c>
      <c r="J269" s="21">
        <v>0</v>
      </c>
      <c r="K269" s="44"/>
      <c r="L269" s="21">
        <v>0</v>
      </c>
      <c r="M269" s="44"/>
      <c r="N269" s="21">
        <v>0</v>
      </c>
      <c r="O269" s="44"/>
      <c r="P269" s="44"/>
      <c r="Q269" s="44"/>
      <c r="R269" s="21">
        <v>0</v>
      </c>
      <c r="S269" s="21"/>
      <c r="T269" s="21">
        <v>0</v>
      </c>
      <c r="U269" s="21"/>
      <c r="V269" s="21"/>
      <c r="W269" s="21"/>
      <c r="X269" s="21"/>
      <c r="Y269" s="21"/>
      <c r="Z269" s="21">
        <v>0</v>
      </c>
      <c r="AA269" s="21">
        <v>0</v>
      </c>
    </row>
    <row r="270" spans="3:27" x14ac:dyDescent="0.2">
      <c r="C270" s="10" t="s">
        <v>798</v>
      </c>
      <c r="E270" s="3" t="e">
        <f>SUM(E241:E269)</f>
        <v>#N/A</v>
      </c>
      <c r="F270" s="3"/>
      <c r="G270" s="3" t="e">
        <f>SUM(G241:G269)</f>
        <v>#N/A</v>
      </c>
      <c r="H270" s="3"/>
      <c r="I270" s="3" t="e">
        <f>SUM(I241:I269)</f>
        <v>#N/A</v>
      </c>
      <c r="J270" s="3" t="e">
        <f>SUM(J241:J269)</f>
        <v>#N/A</v>
      </c>
      <c r="K270" s="15"/>
      <c r="L270" s="3" t="e">
        <f>SUM(L241:L269)</f>
        <v>#N/A</v>
      </c>
      <c r="N270" s="3" t="e">
        <f>SUM(N241:N269)</f>
        <v>#N/A</v>
      </c>
      <c r="R270" s="3" t="e">
        <f>SUM(R241:R269)</f>
        <v>#REF!</v>
      </c>
      <c r="T270" s="3">
        <f>SUM(T241:T269)</f>
        <v>-14453665</v>
      </c>
      <c r="Z270" s="3">
        <f>SUM(Z241:Z269)</f>
        <v>29247249</v>
      </c>
      <c r="AA270" s="3">
        <f>SUM(AA241:AA269)</f>
        <v>19760194</v>
      </c>
    </row>
    <row r="271" spans="3:27" x14ac:dyDescent="0.2">
      <c r="E271" s="3"/>
      <c r="F271" s="3"/>
      <c r="G271" s="3"/>
      <c r="H271" s="3"/>
      <c r="I271" s="3"/>
      <c r="J271" s="3"/>
      <c r="K271" s="15"/>
      <c r="L271" s="3"/>
      <c r="R271" s="3"/>
    </row>
    <row r="272" spans="3:27" x14ac:dyDescent="0.2">
      <c r="C272" s="10" t="s">
        <v>799</v>
      </c>
      <c r="E272" s="3">
        <f>+E123</f>
        <v>12875413</v>
      </c>
      <c r="F272" s="3"/>
      <c r="G272" s="3">
        <f>+G123</f>
        <v>12151669</v>
      </c>
      <c r="H272" s="3"/>
      <c r="I272" s="3">
        <f>+I123</f>
        <v>0</v>
      </c>
      <c r="J272" s="3">
        <f>+J123</f>
        <v>12915864</v>
      </c>
      <c r="K272" s="15"/>
      <c r="L272" s="3">
        <f>+L123</f>
        <v>12904076</v>
      </c>
      <c r="N272" s="3">
        <f>+N130</f>
        <v>28.053548387096775</v>
      </c>
      <c r="R272" s="3">
        <f>+R123</f>
        <v>14134235</v>
      </c>
      <c r="T272" s="3">
        <f>+T123</f>
        <v>14775898</v>
      </c>
      <c r="Z272" s="3">
        <f>+Z123</f>
        <v>18581644</v>
      </c>
      <c r="AA272" s="3">
        <f>+AA123</f>
        <v>19965176</v>
      </c>
    </row>
    <row r="273" spans="3:27" x14ac:dyDescent="0.2">
      <c r="C273" s="10" t="s">
        <v>797</v>
      </c>
      <c r="E273" s="3">
        <f>-E269</f>
        <v>0</v>
      </c>
      <c r="F273" s="3"/>
      <c r="G273" s="3">
        <f>-G269</f>
        <v>0</v>
      </c>
      <c r="H273" s="3"/>
      <c r="I273" s="3">
        <f>-I269</f>
        <v>0</v>
      </c>
      <c r="J273" s="3">
        <f>-J269</f>
        <v>0</v>
      </c>
      <c r="K273" s="15"/>
      <c r="L273" s="3">
        <f>-L269</f>
        <v>0</v>
      </c>
      <c r="N273" s="3">
        <f>-N269</f>
        <v>0</v>
      </c>
      <c r="R273" s="3">
        <f>-R269</f>
        <v>0</v>
      </c>
      <c r="T273" s="3">
        <f>-T269</f>
        <v>0</v>
      </c>
      <c r="Z273" s="3">
        <f>-Z269</f>
        <v>0</v>
      </c>
      <c r="AA273" s="3">
        <f>-AA269</f>
        <v>0</v>
      </c>
    </row>
    <row r="274" spans="3:27" ht="15" x14ac:dyDescent="0.35">
      <c r="C274" s="10" t="s">
        <v>1558</v>
      </c>
      <c r="E274" s="14">
        <v>712000</v>
      </c>
      <c r="F274" s="14"/>
      <c r="G274" s="14">
        <v>712000</v>
      </c>
      <c r="H274" s="14"/>
      <c r="I274" s="14">
        <v>712000</v>
      </c>
      <c r="J274" s="14">
        <v>712000</v>
      </c>
      <c r="K274" s="46"/>
      <c r="L274" s="14">
        <v>712000</v>
      </c>
      <c r="M274" s="46"/>
      <c r="N274" s="14">
        <v>701000</v>
      </c>
      <c r="O274" s="46"/>
      <c r="P274" s="46"/>
      <c r="Q274" s="46"/>
      <c r="R274" s="14">
        <v>712000</v>
      </c>
      <c r="S274" s="14"/>
      <c r="T274" s="14">
        <v>708750</v>
      </c>
      <c r="U274" s="14"/>
      <c r="V274" s="14"/>
      <c r="W274" s="14"/>
      <c r="X274" s="14"/>
      <c r="Y274" s="14"/>
      <c r="Z274" s="14">
        <v>837080</v>
      </c>
      <c r="AA274" s="14">
        <v>837080</v>
      </c>
    </row>
    <row r="275" spans="3:27" x14ac:dyDescent="0.2">
      <c r="C275" s="10" t="s">
        <v>302</v>
      </c>
      <c r="E275" s="3">
        <f>SUM(E272:E274)</f>
        <v>13587413</v>
      </c>
      <c r="F275" s="3"/>
      <c r="G275" s="3">
        <f>SUM(G272:G274)</f>
        <v>12863669</v>
      </c>
      <c r="H275" s="3"/>
      <c r="I275" s="3">
        <f>SUM(I272:I274)</f>
        <v>712000</v>
      </c>
      <c r="J275" s="3">
        <f>SUM(J272:J274)</f>
        <v>13627864</v>
      </c>
      <c r="K275" s="15"/>
      <c r="L275" s="3">
        <f>SUM(L272:L274)</f>
        <v>13616076</v>
      </c>
      <c r="N275" s="3">
        <f>SUM(N272:N274)</f>
        <v>701028.05354838714</v>
      </c>
      <c r="R275" s="3">
        <f>SUM(R272:R274)</f>
        <v>14846235</v>
      </c>
      <c r="T275" s="3">
        <f>SUM(T272:T274)</f>
        <v>15484648</v>
      </c>
      <c r="Z275" s="3">
        <f>SUM(Z272:Z274)</f>
        <v>19418724</v>
      </c>
      <c r="AA275" s="3">
        <f>SUM(AA272:AA274)</f>
        <v>20802256</v>
      </c>
    </row>
    <row r="276" spans="3:27" x14ac:dyDescent="0.2">
      <c r="J276" s="3"/>
      <c r="L276" s="3"/>
      <c r="R276" s="3"/>
    </row>
    <row r="277" spans="3:27" x14ac:dyDescent="0.2">
      <c r="J277" s="3"/>
      <c r="K277" s="3"/>
      <c r="L277" s="3"/>
      <c r="R277" s="3">
        <f>+'[6]TAX RATE'!C15</f>
        <v>15488214.329999998</v>
      </c>
      <c r="T277" s="3" t="e">
        <f>+T275-'TAX RATE (op budget)'!#REF!</f>
        <v>#REF!</v>
      </c>
      <c r="Z277" s="3">
        <f>+'TAX RATE (all)'!C12</f>
        <v>19418724</v>
      </c>
      <c r="AA277" s="3">
        <f>+'TAX RATE (all)'!B12</f>
        <v>20802255.649999999</v>
      </c>
    </row>
    <row r="278" spans="3:27" x14ac:dyDescent="0.2">
      <c r="J278" s="3"/>
      <c r="L278" s="3"/>
      <c r="R278" s="3">
        <f>+R277-R275</f>
        <v>641979.32999999821</v>
      </c>
      <c r="Z278" s="3">
        <f>+Z277-Z275</f>
        <v>0</v>
      </c>
      <c r="AA278" s="3">
        <f>+AA277-AA275</f>
        <v>-0.35000000149011612</v>
      </c>
    </row>
    <row r="279" spans="3:27" x14ac:dyDescent="0.2">
      <c r="J279" s="3"/>
      <c r="L279" s="3"/>
      <c r="R279" s="3"/>
    </row>
    <row r="280" spans="3:27" x14ac:dyDescent="0.2">
      <c r="J280" s="3"/>
      <c r="L280" s="3"/>
      <c r="R280" s="3"/>
    </row>
    <row r="281" spans="3:27" x14ac:dyDescent="0.2">
      <c r="L281" s="3"/>
      <c r="R281" s="3"/>
    </row>
    <row r="282" spans="3:27" x14ac:dyDescent="0.2">
      <c r="L282" s="3"/>
    </row>
    <row r="283" spans="3:27" x14ac:dyDescent="0.2">
      <c r="T283" s="3">
        <f>+T282+T281</f>
        <v>0</v>
      </c>
    </row>
  </sheetData>
  <mergeCells count="10">
    <mergeCell ref="A220:N220"/>
    <mergeCell ref="A204:E204"/>
    <mergeCell ref="A1:K1"/>
    <mergeCell ref="A8:N8"/>
    <mergeCell ref="A151:N151"/>
    <mergeCell ref="A181:N181"/>
    <mergeCell ref="A192:N192"/>
    <mergeCell ref="A202:N202"/>
    <mergeCell ref="A62:N62"/>
    <mergeCell ref="A114:N114"/>
  </mergeCells>
  <phoneticPr fontId="0" type="noConversion"/>
  <printOptions horizontalCentered="1" gridLines="1"/>
  <pageMargins left="0.5" right="0.16" top="0.51" bottom="0.16" header="0.17" footer="0.17"/>
  <pageSetup scale="80" fitToHeight="21" orientation="landscape" r:id="rId1"/>
  <headerFooter alignWithMargins="0">
    <oddHeader>&amp;C&amp;"Arial,Bold"&amp;12Town of Merrimack
 Revenue Budget Detail</oddHeader>
  </headerFooter>
  <rowBreaks count="5" manualBreakCount="5">
    <brk id="58" max="28" man="1"/>
    <brk id="110" max="28" man="1"/>
    <brk id="150" max="28" man="1"/>
    <brk id="191" max="26" man="1"/>
    <brk id="242" max="2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8"/>
  <sheetViews>
    <sheetView view="pageBreakPreview" topLeftCell="B1" zoomScaleNormal="100" zoomScaleSheetLayoutView="100" workbookViewId="0">
      <pane ySplit="5" topLeftCell="A254" activePane="bottomLeft" state="frozen"/>
      <selection activeCell="D43" sqref="D43"/>
      <selection pane="bottomLeft" activeCell="J6" sqref="J6:J270"/>
    </sheetView>
  </sheetViews>
  <sheetFormatPr defaultColWidth="8.85546875" defaultRowHeight="12.75" x14ac:dyDescent="0.2"/>
  <cols>
    <col min="1" max="1" width="53.7109375" style="3" customWidth="1"/>
    <col min="2" max="2" width="8.7109375" style="3" bestFit="1" customWidth="1"/>
    <col min="3" max="3" width="10.42578125" style="3" customWidth="1"/>
    <col min="4" max="4" width="11.42578125" style="3" customWidth="1"/>
    <col min="5" max="7" width="10.85546875" style="3" customWidth="1"/>
    <col min="8" max="8" width="13.28515625" style="3" customWidth="1"/>
    <col min="9" max="10" width="10.85546875" style="3" customWidth="1"/>
    <col min="11" max="16384" width="8.85546875" style="3"/>
  </cols>
  <sheetData>
    <row r="1" spans="1:10" x14ac:dyDescent="0.2">
      <c r="A1" s="562" t="str">
        <f>'SUMMARY BY FUND'!A1:J1</f>
        <v>2023-24 BUDGET</v>
      </c>
      <c r="B1" s="563"/>
      <c r="C1" s="563"/>
      <c r="D1" s="563"/>
      <c r="E1" s="563"/>
      <c r="F1" s="563"/>
      <c r="G1" s="563"/>
      <c r="H1" s="563"/>
      <c r="I1" s="563"/>
      <c r="J1" s="563"/>
    </row>
    <row r="2" spans="1:10" ht="18.75" x14ac:dyDescent="0.3">
      <c r="A2" s="204" t="s">
        <v>1868</v>
      </c>
      <c r="B2" s="203"/>
      <c r="C2" s="203"/>
      <c r="D2" s="203"/>
      <c r="E2" s="203"/>
      <c r="F2" s="203"/>
    </row>
    <row r="4" spans="1:10" x14ac:dyDescent="0.2">
      <c r="E4" s="19" t="s">
        <v>250</v>
      </c>
      <c r="F4" s="19" t="s">
        <v>251</v>
      </c>
      <c r="G4" s="19" t="s">
        <v>68</v>
      </c>
      <c r="H4" s="19" t="s">
        <v>432</v>
      </c>
      <c r="I4" s="19" t="s">
        <v>338</v>
      </c>
      <c r="J4" s="19" t="s">
        <v>370</v>
      </c>
    </row>
    <row r="5" spans="1:10" ht="15" x14ac:dyDescent="0.35">
      <c r="E5" s="492" t="s">
        <v>2163</v>
      </c>
      <c r="F5" s="492" t="s">
        <v>2290</v>
      </c>
      <c r="G5" s="492" t="s">
        <v>2507</v>
      </c>
      <c r="H5" s="492" t="s">
        <v>2507</v>
      </c>
      <c r="I5" s="492" t="s">
        <v>2507</v>
      </c>
      <c r="J5" s="492" t="s">
        <v>2507</v>
      </c>
    </row>
    <row r="6" spans="1:10" ht="13.5" x14ac:dyDescent="0.25">
      <c r="A6" s="55" t="s">
        <v>1318</v>
      </c>
      <c r="E6" s="3">
        <v>27200</v>
      </c>
      <c r="F6" s="3">
        <v>27200</v>
      </c>
      <c r="G6" s="3">
        <v>27200</v>
      </c>
      <c r="H6" s="3">
        <v>27200</v>
      </c>
      <c r="I6" s="3">
        <v>27200</v>
      </c>
    </row>
    <row r="7" spans="1:10" x14ac:dyDescent="0.2">
      <c r="A7" s="3" t="s">
        <v>529</v>
      </c>
      <c r="B7" s="3">
        <v>7</v>
      </c>
      <c r="C7" s="3">
        <v>3600</v>
      </c>
      <c r="D7" s="3">
        <f>ROUND(B7*C7,0)</f>
        <v>25200</v>
      </c>
    </row>
    <row r="8" spans="1:10" ht="15" x14ac:dyDescent="0.35">
      <c r="A8" s="3" t="s">
        <v>1319</v>
      </c>
      <c r="B8" s="3">
        <v>1</v>
      </c>
      <c r="C8" s="3">
        <v>2000</v>
      </c>
      <c r="D8" s="14">
        <f>ROUND(B8*C8,0)</f>
        <v>2000</v>
      </c>
    </row>
    <row r="9" spans="1:10" x14ac:dyDescent="0.2">
      <c r="A9" s="3" t="s">
        <v>1320</v>
      </c>
      <c r="D9" s="3">
        <f>SUM(D7:D8)</f>
        <v>27200</v>
      </c>
    </row>
    <row r="11" spans="1:10" ht="13.5" x14ac:dyDescent="0.25">
      <c r="A11" s="55" t="s">
        <v>431</v>
      </c>
      <c r="E11" s="3">
        <v>510304</v>
      </c>
      <c r="F11" s="3">
        <v>530232</v>
      </c>
      <c r="G11" s="3">
        <v>530746</v>
      </c>
      <c r="H11" s="3">
        <v>530746</v>
      </c>
      <c r="I11" s="3">
        <v>549083</v>
      </c>
    </row>
    <row r="12" spans="1:10" x14ac:dyDescent="0.2">
      <c r="A12" s="3" t="s">
        <v>432</v>
      </c>
      <c r="B12" s="3">
        <v>52</v>
      </c>
      <c r="C12" s="3">
        <v>2985</v>
      </c>
      <c r="D12" s="3">
        <f t="shared" ref="D12:D16" si="0">ROUND(B12*C12,0)</f>
        <v>155220</v>
      </c>
    </row>
    <row r="13" spans="1:10" x14ac:dyDescent="0.2">
      <c r="A13" s="3" t="s">
        <v>2302</v>
      </c>
      <c r="B13" s="3">
        <v>52</v>
      </c>
      <c r="C13" s="3">
        <v>2060</v>
      </c>
      <c r="D13" s="3">
        <f t="shared" si="0"/>
        <v>107120</v>
      </c>
    </row>
    <row r="14" spans="1:10" x14ac:dyDescent="0.2">
      <c r="A14" s="3" t="s">
        <v>1603</v>
      </c>
      <c r="B14" s="3">
        <v>52</v>
      </c>
      <c r="C14" s="3">
        <v>1558</v>
      </c>
      <c r="D14" s="3">
        <f t="shared" si="0"/>
        <v>81016</v>
      </c>
    </row>
    <row r="15" spans="1:10" x14ac:dyDescent="0.2">
      <c r="A15" s="3" t="s">
        <v>2656</v>
      </c>
      <c r="B15" s="3">
        <v>52</v>
      </c>
      <c r="C15" s="3">
        <v>1936</v>
      </c>
      <c r="D15" s="3">
        <f t="shared" si="0"/>
        <v>100672</v>
      </c>
    </row>
    <row r="16" spans="1:10" x14ac:dyDescent="0.2">
      <c r="A16" s="3" t="s">
        <v>1854</v>
      </c>
      <c r="B16" s="3">
        <v>52</v>
      </c>
      <c r="C16" s="3">
        <v>1879</v>
      </c>
      <c r="D16" s="3">
        <f t="shared" si="0"/>
        <v>97708</v>
      </c>
    </row>
    <row r="17" spans="1:9" ht="15" x14ac:dyDescent="0.35">
      <c r="A17" s="3" t="s">
        <v>1039</v>
      </c>
      <c r="D17" s="14">
        <v>7347</v>
      </c>
    </row>
    <row r="18" spans="1:9" x14ac:dyDescent="0.2">
      <c r="D18" s="3">
        <f>SUM(D12:D17)</f>
        <v>549083</v>
      </c>
    </row>
    <row r="20" spans="1:9" ht="13.5" x14ac:dyDescent="0.25">
      <c r="A20" s="55" t="s">
        <v>360</v>
      </c>
      <c r="E20" s="3">
        <v>300810</v>
      </c>
      <c r="F20" s="3">
        <v>326871</v>
      </c>
      <c r="G20" s="3">
        <v>324916</v>
      </c>
      <c r="H20" s="3">
        <v>324916</v>
      </c>
      <c r="I20" s="3">
        <v>336241</v>
      </c>
    </row>
    <row r="21" spans="1:9" x14ac:dyDescent="0.2">
      <c r="A21" s="3" t="s">
        <v>810</v>
      </c>
      <c r="B21" s="3">
        <v>52</v>
      </c>
      <c r="C21" s="3">
        <v>996</v>
      </c>
      <c r="D21" s="3">
        <f t="shared" ref="D21:D26" si="1">ROUND(B21*C21,0)</f>
        <v>51792</v>
      </c>
    </row>
    <row r="22" spans="1:9" x14ac:dyDescent="0.2">
      <c r="A22" s="3" t="s">
        <v>1170</v>
      </c>
      <c r="B22" s="3">
        <v>52</v>
      </c>
      <c r="C22" s="3">
        <v>836</v>
      </c>
      <c r="D22" s="3">
        <f t="shared" si="1"/>
        <v>43472</v>
      </c>
    </row>
    <row r="23" spans="1:9" x14ac:dyDescent="0.2">
      <c r="A23" s="3" t="s">
        <v>192</v>
      </c>
      <c r="B23" s="3">
        <v>52</v>
      </c>
      <c r="C23" s="3">
        <v>1129</v>
      </c>
      <c r="D23" s="3">
        <f t="shared" si="1"/>
        <v>58708</v>
      </c>
    </row>
    <row r="24" spans="1:9" x14ac:dyDescent="0.2">
      <c r="A24" s="3" t="s">
        <v>467</v>
      </c>
      <c r="B24" s="3">
        <v>52</v>
      </c>
      <c r="C24" s="3">
        <v>976</v>
      </c>
      <c r="D24" s="3">
        <f t="shared" si="1"/>
        <v>50752</v>
      </c>
    </row>
    <row r="25" spans="1:9" x14ac:dyDescent="0.2">
      <c r="A25" s="3" t="s">
        <v>467</v>
      </c>
      <c r="B25" s="3">
        <v>52</v>
      </c>
      <c r="C25" s="3">
        <v>1074</v>
      </c>
      <c r="D25" s="3">
        <f t="shared" si="1"/>
        <v>55848</v>
      </c>
    </row>
    <row r="26" spans="1:9" x14ac:dyDescent="0.2">
      <c r="A26" s="3" t="s">
        <v>2169</v>
      </c>
      <c r="B26" s="3">
        <v>52</v>
      </c>
      <c r="C26" s="3">
        <v>1440</v>
      </c>
      <c r="D26" s="3">
        <f t="shared" si="1"/>
        <v>74880</v>
      </c>
    </row>
    <row r="27" spans="1:9" ht="15" x14ac:dyDescent="0.35">
      <c r="A27" s="3" t="s">
        <v>1039</v>
      </c>
      <c r="B27" s="3" t="s">
        <v>418</v>
      </c>
      <c r="C27" s="3" t="s">
        <v>418</v>
      </c>
      <c r="D27" s="14">
        <v>789</v>
      </c>
    </row>
    <row r="28" spans="1:9" x14ac:dyDescent="0.2">
      <c r="A28" s="3" t="s">
        <v>1320</v>
      </c>
      <c r="D28" s="3">
        <f>SUM(D21:D27)</f>
        <v>336241</v>
      </c>
    </row>
    <row r="30" spans="1:9" ht="13.5" x14ac:dyDescent="0.25">
      <c r="A30" s="55" t="s">
        <v>419</v>
      </c>
      <c r="E30" s="3">
        <v>28186</v>
      </c>
      <c r="F30" s="3">
        <v>41067</v>
      </c>
      <c r="G30" s="3">
        <v>41292</v>
      </c>
      <c r="H30" s="3">
        <v>41292</v>
      </c>
      <c r="I30" s="3">
        <v>42736</v>
      </c>
    </row>
    <row r="31" spans="1:9" x14ac:dyDescent="0.2">
      <c r="A31" s="3" t="s">
        <v>1524</v>
      </c>
      <c r="B31" s="3">
        <v>530</v>
      </c>
      <c r="C31" s="15">
        <v>10.039999999999999</v>
      </c>
      <c r="D31" s="3">
        <f>ROUND(B31*C31,0)</f>
        <v>5321</v>
      </c>
    </row>
    <row r="32" spans="1:9" x14ac:dyDescent="0.2">
      <c r="A32" s="3" t="s">
        <v>1604</v>
      </c>
      <c r="B32" s="3">
        <v>225</v>
      </c>
      <c r="C32" s="15">
        <v>22.73</v>
      </c>
      <c r="D32" s="3">
        <f>ROUND(B32*C32,0)</f>
        <v>5114</v>
      </c>
    </row>
    <row r="33" spans="1:9" ht="15" x14ac:dyDescent="0.35">
      <c r="A33" s="54" t="s">
        <v>2289</v>
      </c>
      <c r="B33" s="3">
        <v>1455</v>
      </c>
      <c r="C33" s="15">
        <v>22.2</v>
      </c>
      <c r="D33" s="14">
        <f>ROUND(B33*C33,0)</f>
        <v>32301</v>
      </c>
    </row>
    <row r="34" spans="1:9" x14ac:dyDescent="0.2">
      <c r="C34" s="15"/>
      <c r="D34" s="3">
        <f>SUM(D31:D33)</f>
        <v>42736</v>
      </c>
    </row>
    <row r="35" spans="1:9" x14ac:dyDescent="0.2">
      <c r="C35" s="15"/>
    </row>
    <row r="36" spans="1:9" ht="13.5" x14ac:dyDescent="0.25">
      <c r="A36" s="55" t="s">
        <v>882</v>
      </c>
      <c r="C36" s="15"/>
      <c r="E36" s="3">
        <v>2182</v>
      </c>
      <c r="F36" s="3">
        <v>11758</v>
      </c>
      <c r="G36" s="3">
        <v>7792</v>
      </c>
      <c r="H36" s="3">
        <v>7792</v>
      </c>
      <c r="I36" s="3">
        <v>8064</v>
      </c>
    </row>
    <row r="37" spans="1:9" x14ac:dyDescent="0.2">
      <c r="A37" s="491" t="s">
        <v>2085</v>
      </c>
      <c r="B37" s="3">
        <v>200</v>
      </c>
      <c r="C37" s="15">
        <f>SUM(C21:C26)/40/6*1.5</f>
        <v>40.318750000000001</v>
      </c>
      <c r="D37" s="3">
        <f>+C37*B37</f>
        <v>8063.75</v>
      </c>
    </row>
    <row r="38" spans="1:9" x14ac:dyDescent="0.2">
      <c r="A38" s="3" t="s">
        <v>418</v>
      </c>
      <c r="B38" s="3" t="s">
        <v>418</v>
      </c>
      <c r="C38" s="3" t="s">
        <v>418</v>
      </c>
      <c r="D38" s="3" t="s">
        <v>418</v>
      </c>
    </row>
    <row r="39" spans="1:9" ht="13.5" x14ac:dyDescent="0.25">
      <c r="A39" s="55" t="s">
        <v>193</v>
      </c>
      <c r="E39" s="3">
        <v>69192</v>
      </c>
      <c r="F39" s="3">
        <v>69501</v>
      </c>
      <c r="G39" s="3">
        <v>69107</v>
      </c>
      <c r="H39" s="3">
        <v>69107</v>
      </c>
      <c r="I39" s="3">
        <v>71181</v>
      </c>
    </row>
    <row r="40" spans="1:9" x14ac:dyDescent="0.2">
      <c r="A40" s="53" t="s">
        <v>194</v>
      </c>
      <c r="B40" s="3">
        <f>+D9</f>
        <v>27200</v>
      </c>
      <c r="C40" s="17">
        <v>1.4500000000000001E-2</v>
      </c>
      <c r="D40" s="3">
        <f>ROUND(B40*C40,0)</f>
        <v>394</v>
      </c>
    </row>
    <row r="41" spans="1:9" x14ac:dyDescent="0.2">
      <c r="A41" s="53" t="s">
        <v>195</v>
      </c>
      <c r="B41" s="3">
        <v>141900</v>
      </c>
      <c r="C41" s="17">
        <v>7.6499999999999999E-2</v>
      </c>
      <c r="D41" s="3">
        <f t="shared" ref="D41:D46" si="2">ROUND(B41*C41,0)</f>
        <v>10855</v>
      </c>
    </row>
    <row r="42" spans="1:9" x14ac:dyDescent="0.2">
      <c r="A42" s="3" t="s">
        <v>195</v>
      </c>
      <c r="B42" s="3">
        <f>IF((D12)&gt;141900,+D12+-141900,D12)</f>
        <v>13320</v>
      </c>
      <c r="C42" s="17">
        <v>1.4500000000000001E-2</v>
      </c>
      <c r="D42" s="3">
        <f t="shared" si="2"/>
        <v>193</v>
      </c>
    </row>
    <row r="43" spans="1:9" x14ac:dyDescent="0.2">
      <c r="A43" s="53" t="s">
        <v>1463</v>
      </c>
      <c r="B43" s="3">
        <f>SUM(D13:D17)</f>
        <v>393863</v>
      </c>
      <c r="C43" s="17">
        <v>7.6499999999999999E-2</v>
      </c>
      <c r="D43" s="3">
        <f t="shared" si="2"/>
        <v>30131</v>
      </c>
    </row>
    <row r="44" spans="1:9" x14ac:dyDescent="0.2">
      <c r="A44" s="53" t="s">
        <v>883</v>
      </c>
      <c r="B44" s="3">
        <f>+D28</f>
        <v>336241</v>
      </c>
      <c r="C44" s="17">
        <v>7.6499999999999999E-2</v>
      </c>
      <c r="D44" s="3">
        <f t="shared" si="2"/>
        <v>25722</v>
      </c>
    </row>
    <row r="45" spans="1:9" x14ac:dyDescent="0.2">
      <c r="A45" s="53" t="s">
        <v>196</v>
      </c>
      <c r="B45" s="3">
        <f>+D34</f>
        <v>42736</v>
      </c>
      <c r="C45" s="17">
        <v>7.6499999999999999E-2</v>
      </c>
      <c r="D45" s="3">
        <f t="shared" si="2"/>
        <v>3269</v>
      </c>
    </row>
    <row r="46" spans="1:9" ht="15" x14ac:dyDescent="0.35">
      <c r="A46" s="53" t="s">
        <v>197</v>
      </c>
      <c r="B46" s="3">
        <f>+D37</f>
        <v>8063.75</v>
      </c>
      <c r="C46" s="17">
        <v>7.6499999999999999E-2</v>
      </c>
      <c r="D46" s="14">
        <f t="shared" si="2"/>
        <v>617</v>
      </c>
    </row>
    <row r="47" spans="1:9" x14ac:dyDescent="0.2">
      <c r="A47" s="3" t="s">
        <v>1320</v>
      </c>
      <c r="C47" s="17"/>
      <c r="D47" s="3">
        <f>SUM(D40:D46)</f>
        <v>71181</v>
      </c>
    </row>
    <row r="48" spans="1:9" x14ac:dyDescent="0.2">
      <c r="C48" s="17"/>
    </row>
    <row r="49" spans="1:9" ht="13.5" x14ac:dyDescent="0.25">
      <c r="A49" s="55" t="s">
        <v>1917</v>
      </c>
      <c r="C49" s="17"/>
      <c r="E49" s="3">
        <v>125558</v>
      </c>
      <c r="F49" s="3">
        <v>122159</v>
      </c>
      <c r="G49" s="3">
        <v>116823</v>
      </c>
      <c r="H49" s="3">
        <v>116823</v>
      </c>
      <c r="I49" s="3">
        <v>120873</v>
      </c>
    </row>
    <row r="50" spans="1:9" x14ac:dyDescent="0.2">
      <c r="A50" s="53" t="s">
        <v>1329</v>
      </c>
      <c r="B50" s="3">
        <f>+D9</f>
        <v>27200</v>
      </c>
      <c r="C50" s="17">
        <v>0</v>
      </c>
      <c r="D50" s="3">
        <f>+C50*B50</f>
        <v>0</v>
      </c>
    </row>
    <row r="51" spans="1:9" x14ac:dyDescent="0.2">
      <c r="A51" s="53" t="s">
        <v>195</v>
      </c>
      <c r="B51" s="3">
        <f>+D12</f>
        <v>155220</v>
      </c>
      <c r="C51" s="495">
        <v>0.1353</v>
      </c>
      <c r="D51" s="3">
        <f>+C51*B51</f>
        <v>21001.266</v>
      </c>
    </row>
    <row r="52" spans="1:9" x14ac:dyDescent="0.2">
      <c r="A52" s="53" t="s">
        <v>1330</v>
      </c>
      <c r="B52" s="3">
        <f>+D18-B51</f>
        <v>393863</v>
      </c>
      <c r="C52" s="495">
        <v>0.1353</v>
      </c>
      <c r="D52" s="3">
        <f>ROUND(B52*C52,0)</f>
        <v>53290</v>
      </c>
    </row>
    <row r="53" spans="1:9" x14ac:dyDescent="0.2">
      <c r="A53" s="3" t="s">
        <v>1331</v>
      </c>
      <c r="B53" s="3">
        <f>+D28</f>
        <v>336241</v>
      </c>
      <c r="C53" s="495">
        <v>0.1353</v>
      </c>
      <c r="D53" s="3">
        <f>ROUND(B53*C53,0)</f>
        <v>45493</v>
      </c>
    </row>
    <row r="54" spans="1:9" ht="15" x14ac:dyDescent="0.35">
      <c r="A54" s="53" t="s">
        <v>1464</v>
      </c>
      <c r="B54" s="3">
        <f>+D37</f>
        <v>8063.75</v>
      </c>
      <c r="C54" s="495">
        <v>0.1353</v>
      </c>
      <c r="D54" s="14">
        <f>ROUND(B54*C54,0)</f>
        <v>1091</v>
      </c>
    </row>
    <row r="55" spans="1:9" x14ac:dyDescent="0.2">
      <c r="A55" s="3" t="s">
        <v>1320</v>
      </c>
      <c r="D55" s="3">
        <f>SUM(D50:D54)-2</f>
        <v>120873.266</v>
      </c>
    </row>
    <row r="57" spans="1:9" ht="13.5" x14ac:dyDescent="0.25">
      <c r="A57" s="55" t="s">
        <v>1011</v>
      </c>
      <c r="E57" s="3">
        <v>198471</v>
      </c>
      <c r="F57" s="3">
        <v>209000</v>
      </c>
      <c r="G57" s="3">
        <v>222750</v>
      </c>
      <c r="H57" s="3">
        <v>222750</v>
      </c>
      <c r="I57" s="3">
        <v>222750</v>
      </c>
    </row>
    <row r="58" spans="1:9" x14ac:dyDescent="0.2">
      <c r="A58" s="3" t="s">
        <v>440</v>
      </c>
      <c r="B58" s="3">
        <v>11</v>
      </c>
      <c r="C58" s="3">
        <v>20250</v>
      </c>
      <c r="D58" s="3">
        <f>ROUND(B58*C58,0)</f>
        <v>222750</v>
      </c>
    </row>
    <row r="60" spans="1:9" ht="13.5" x14ac:dyDescent="0.25">
      <c r="A60" s="55" t="s">
        <v>1012</v>
      </c>
      <c r="E60" s="3">
        <v>13068</v>
      </c>
      <c r="F60" s="3">
        <v>13613</v>
      </c>
      <c r="G60" s="3">
        <v>13613</v>
      </c>
      <c r="H60" s="3">
        <v>13613</v>
      </c>
      <c r="I60" s="3">
        <v>13613</v>
      </c>
    </row>
    <row r="61" spans="1:9" x14ac:dyDescent="0.2">
      <c r="A61" s="3" t="s">
        <v>440</v>
      </c>
      <c r="B61" s="3">
        <v>11</v>
      </c>
      <c r="C61" s="3">
        <v>1375</v>
      </c>
      <c r="D61" s="3">
        <f>ROUND(B61*C61,0)</f>
        <v>15125</v>
      </c>
    </row>
    <row r="62" spans="1:9" ht="15" x14ac:dyDescent="0.35">
      <c r="A62" s="3" t="s">
        <v>243</v>
      </c>
      <c r="D62" s="14">
        <f>-C61*0.1*B61</f>
        <v>-1512.5</v>
      </c>
    </row>
    <row r="63" spans="1:9" x14ac:dyDescent="0.2">
      <c r="A63" s="491" t="s">
        <v>877</v>
      </c>
      <c r="D63" s="3">
        <f>SUM(D61:D62)</f>
        <v>13612.5</v>
      </c>
    </row>
    <row r="65" spans="1:9" ht="13.5" x14ac:dyDescent="0.25">
      <c r="A65" s="55" t="s">
        <v>1013</v>
      </c>
      <c r="E65" s="3">
        <v>1751</v>
      </c>
      <c r="F65" s="3">
        <v>1485</v>
      </c>
      <c r="G65" s="3">
        <v>1595</v>
      </c>
      <c r="H65" s="3">
        <v>1595</v>
      </c>
      <c r="I65" s="3">
        <v>1595</v>
      </c>
    </row>
    <row r="66" spans="1:9" x14ac:dyDescent="0.2">
      <c r="A66" s="3" t="s">
        <v>1328</v>
      </c>
      <c r="B66" s="3">
        <v>11</v>
      </c>
      <c r="C66" s="3">
        <v>145</v>
      </c>
      <c r="D66" s="3">
        <f>ROUND(B66*C66,0)</f>
        <v>1595</v>
      </c>
    </row>
    <row r="68" spans="1:9" ht="13.5" x14ac:dyDescent="0.25">
      <c r="A68" s="55" t="s">
        <v>1014</v>
      </c>
      <c r="E68" s="3">
        <v>7999</v>
      </c>
      <c r="F68" s="3">
        <v>5775</v>
      </c>
      <c r="G68" s="3">
        <v>6215</v>
      </c>
      <c r="H68" s="3">
        <v>6215</v>
      </c>
      <c r="I68" s="3">
        <v>6215</v>
      </c>
    </row>
    <row r="69" spans="1:9" x14ac:dyDescent="0.2">
      <c r="A69" s="3" t="s">
        <v>902</v>
      </c>
      <c r="B69" s="3">
        <v>11</v>
      </c>
      <c r="C69" s="3">
        <v>565</v>
      </c>
      <c r="D69" s="3">
        <f>ROUND(B69*C69,0)</f>
        <v>6215</v>
      </c>
    </row>
    <row r="71" spans="1:9" ht="13.5" x14ac:dyDescent="0.25">
      <c r="A71" s="55" t="s">
        <v>1542</v>
      </c>
      <c r="E71" s="3">
        <v>-2825</v>
      </c>
      <c r="F71" s="3">
        <v>1641</v>
      </c>
      <c r="G71" s="3">
        <v>1772</v>
      </c>
      <c r="H71" s="3">
        <v>1772</v>
      </c>
      <c r="I71" s="3">
        <v>1831</v>
      </c>
    </row>
    <row r="72" spans="1:9" ht="12.6" customHeight="1" x14ac:dyDescent="0.2">
      <c r="A72" s="53" t="s">
        <v>194</v>
      </c>
      <c r="B72" s="3">
        <f>+D9</f>
        <v>27200</v>
      </c>
      <c r="C72" s="17">
        <v>1.89E-3</v>
      </c>
      <c r="D72" s="3">
        <f>ROUND(B72*C72,0)</f>
        <v>51</v>
      </c>
    </row>
    <row r="73" spans="1:9" ht="12.6" customHeight="1" x14ac:dyDescent="0.2">
      <c r="A73" s="53" t="s">
        <v>1536</v>
      </c>
      <c r="B73" s="3">
        <f>+D18</f>
        <v>549083</v>
      </c>
      <c r="C73" s="17">
        <v>1.89E-3</v>
      </c>
      <c r="D73" s="3">
        <f>ROUND(B73*C73,0)+6</f>
        <v>1044</v>
      </c>
    </row>
    <row r="74" spans="1:9" ht="12.6" customHeight="1" x14ac:dyDescent="0.2">
      <c r="A74" s="53" t="s">
        <v>883</v>
      </c>
      <c r="B74" s="3">
        <f>+D28</f>
        <v>336241</v>
      </c>
      <c r="C74" s="17">
        <v>1.89E-3</v>
      </c>
      <c r="D74" s="3">
        <f>ROUND(B74*C74,0)</f>
        <v>635</v>
      </c>
    </row>
    <row r="75" spans="1:9" ht="12.6" customHeight="1" x14ac:dyDescent="0.2">
      <c r="A75" s="53" t="s">
        <v>196</v>
      </c>
      <c r="B75" s="3">
        <f>+D34</f>
        <v>42736</v>
      </c>
      <c r="C75" s="17">
        <v>1.89E-3</v>
      </c>
      <c r="D75" s="3">
        <f>ROUND(B75*C75,0)</f>
        <v>81</v>
      </c>
    </row>
    <row r="76" spans="1:9" ht="14.45" customHeight="1" x14ac:dyDescent="0.35">
      <c r="A76" s="53" t="s">
        <v>197</v>
      </c>
      <c r="B76" s="3">
        <f>+D37</f>
        <v>8063.75</v>
      </c>
      <c r="C76" s="17">
        <v>1.89E-3</v>
      </c>
      <c r="D76" s="14">
        <f>ROUND(B76*C76,0)</f>
        <v>15</v>
      </c>
    </row>
    <row r="77" spans="1:9" ht="12.6" customHeight="1" x14ac:dyDescent="0.2">
      <c r="A77" s="3" t="s">
        <v>1320</v>
      </c>
      <c r="D77" s="3">
        <f>SUM(D72:D76)+5</f>
        <v>1831</v>
      </c>
    </row>
    <row r="79" spans="1:9" ht="13.5" x14ac:dyDescent="0.25">
      <c r="A79" s="55" t="s">
        <v>361</v>
      </c>
      <c r="E79" s="3">
        <v>103</v>
      </c>
      <c r="F79" s="3">
        <v>253</v>
      </c>
      <c r="G79" s="3">
        <v>254</v>
      </c>
      <c r="H79" s="3">
        <v>254</v>
      </c>
      <c r="I79" s="3">
        <v>255</v>
      </c>
    </row>
    <row r="80" spans="1:9" ht="12" customHeight="1" x14ac:dyDescent="0.2">
      <c r="A80" s="53" t="s">
        <v>194</v>
      </c>
      <c r="B80" s="3">
        <f>+D9</f>
        <v>27200</v>
      </c>
      <c r="C80" s="3">
        <v>0</v>
      </c>
      <c r="D80" s="3">
        <f>ROUND(B80*C80,0)</f>
        <v>0</v>
      </c>
    </row>
    <row r="81" spans="1:9" ht="12.6" customHeight="1" x14ac:dyDescent="0.2">
      <c r="A81" s="53" t="s">
        <v>1536</v>
      </c>
      <c r="B81" s="3">
        <v>4</v>
      </c>
      <c r="C81" s="3">
        <v>20</v>
      </c>
      <c r="D81" s="3">
        <f>ROUND(B81*C81,0)</f>
        <v>80</v>
      </c>
    </row>
    <row r="82" spans="1:9" ht="12.6" customHeight="1" x14ac:dyDescent="0.2">
      <c r="A82" s="53" t="s">
        <v>883</v>
      </c>
      <c r="B82" s="3">
        <v>7</v>
      </c>
      <c r="C82" s="3">
        <v>20</v>
      </c>
      <c r="D82" s="3">
        <f>ROUND(B82*C82,0)</f>
        <v>140</v>
      </c>
    </row>
    <row r="83" spans="1:9" ht="12.6" customHeight="1" x14ac:dyDescent="0.2">
      <c r="A83" s="53" t="s">
        <v>1607</v>
      </c>
      <c r="B83" s="3">
        <v>1</v>
      </c>
      <c r="C83" s="3">
        <v>20</v>
      </c>
      <c r="D83" s="3">
        <f>ROUND(B83*C83,0)</f>
        <v>20</v>
      </c>
    </row>
    <row r="84" spans="1:9" ht="14.45" customHeight="1" x14ac:dyDescent="0.35">
      <c r="A84" s="53" t="s">
        <v>196</v>
      </c>
      <c r="B84" s="3">
        <f>+B75-D33</f>
        <v>10435</v>
      </c>
      <c r="C84" s="17">
        <v>1.4E-3</v>
      </c>
      <c r="D84" s="14">
        <f>ROUND(B84*C84,0)</f>
        <v>15</v>
      </c>
    </row>
    <row r="85" spans="1:9" ht="12.6" customHeight="1" x14ac:dyDescent="0.2">
      <c r="A85" s="3" t="s">
        <v>1320</v>
      </c>
      <c r="D85" s="3">
        <f>SUM(D80:D84)</f>
        <v>255</v>
      </c>
    </row>
    <row r="86" spans="1:9" ht="13.5" x14ac:dyDescent="0.25">
      <c r="A86" s="206"/>
    </row>
    <row r="87" spans="1:9" ht="13.5" x14ac:dyDescent="0.25">
      <c r="A87" s="55" t="s">
        <v>267</v>
      </c>
      <c r="B87" s="3" t="s">
        <v>418</v>
      </c>
      <c r="E87" s="3">
        <v>141205</v>
      </c>
      <c r="F87" s="3">
        <v>155000</v>
      </c>
      <c r="G87" s="3">
        <v>55000</v>
      </c>
      <c r="H87" s="3">
        <v>55000</v>
      </c>
      <c r="I87" s="3">
        <v>55000</v>
      </c>
    </row>
    <row r="88" spans="1:9" x14ac:dyDescent="0.2">
      <c r="A88" s="3" t="s">
        <v>316</v>
      </c>
    </row>
    <row r="89" spans="1:9" x14ac:dyDescent="0.2">
      <c r="A89" s="3" t="s">
        <v>2172</v>
      </c>
      <c r="D89" s="3">
        <v>0</v>
      </c>
    </row>
    <row r="90" spans="1:9" x14ac:dyDescent="0.2">
      <c r="A90" s="3" t="s">
        <v>2171</v>
      </c>
      <c r="D90" s="3">
        <v>25000</v>
      </c>
    </row>
    <row r="91" spans="1:9" ht="15" x14ac:dyDescent="0.35">
      <c r="A91" s="3" t="s">
        <v>2301</v>
      </c>
      <c r="D91" s="14">
        <v>30000</v>
      </c>
    </row>
    <row r="92" spans="1:9" x14ac:dyDescent="0.2">
      <c r="A92" s="3" t="s">
        <v>269</v>
      </c>
      <c r="D92" s="3">
        <f>SUM(D89:D91)</f>
        <v>55000</v>
      </c>
    </row>
    <row r="94" spans="1:9" ht="13.5" x14ac:dyDescent="0.25">
      <c r="A94" s="55" t="s">
        <v>463</v>
      </c>
      <c r="E94" s="3">
        <v>750</v>
      </c>
      <c r="F94" s="3">
        <v>25000</v>
      </c>
      <c r="G94" s="3">
        <v>55000</v>
      </c>
      <c r="H94" s="3">
        <v>55000</v>
      </c>
      <c r="I94" s="3">
        <v>55000</v>
      </c>
    </row>
    <row r="95" spans="1:9" x14ac:dyDescent="0.2">
      <c r="A95" s="54" t="s">
        <v>191</v>
      </c>
      <c r="D95" s="3">
        <v>5000</v>
      </c>
    </row>
    <row r="96" spans="1:9" x14ac:dyDescent="0.2">
      <c r="A96" s="54" t="s">
        <v>2500</v>
      </c>
      <c r="D96" s="3">
        <v>0</v>
      </c>
    </row>
    <row r="97" spans="1:9" ht="15" x14ac:dyDescent="0.35">
      <c r="A97" s="54" t="s">
        <v>1913</v>
      </c>
      <c r="D97" s="14">
        <v>50000</v>
      </c>
    </row>
    <row r="98" spans="1:9" x14ac:dyDescent="0.2">
      <c r="A98" s="54"/>
      <c r="D98" s="3">
        <f>SUM(D95:D97)</f>
        <v>55000</v>
      </c>
    </row>
    <row r="99" spans="1:9" ht="15" x14ac:dyDescent="0.35">
      <c r="A99" s="54"/>
      <c r="D99" s="14"/>
    </row>
    <row r="100" spans="1:9" ht="13.5" x14ac:dyDescent="0.25">
      <c r="A100" s="55" t="s">
        <v>270</v>
      </c>
      <c r="E100" s="3">
        <v>9999</v>
      </c>
      <c r="F100" s="3">
        <v>12000</v>
      </c>
      <c r="G100" s="3">
        <v>12000</v>
      </c>
      <c r="H100" s="3">
        <v>12000</v>
      </c>
      <c r="I100" s="3">
        <v>12000</v>
      </c>
    </row>
    <row r="101" spans="1:9" x14ac:dyDescent="0.2">
      <c r="A101" s="3" t="s">
        <v>317</v>
      </c>
      <c r="B101" s="3">
        <v>8500</v>
      </c>
      <c r="C101" s="3">
        <v>11000</v>
      </c>
      <c r="D101" s="3">
        <v>12000</v>
      </c>
    </row>
    <row r="102" spans="1:9" x14ac:dyDescent="0.2">
      <c r="A102" s="3" t="s">
        <v>418</v>
      </c>
      <c r="C102" s="3" t="s">
        <v>418</v>
      </c>
      <c r="D102" s="3" t="s">
        <v>418</v>
      </c>
    </row>
    <row r="103" spans="1:9" ht="15" x14ac:dyDescent="0.35">
      <c r="A103" s="55" t="s">
        <v>1550</v>
      </c>
      <c r="B103" s="492" t="s">
        <v>2163</v>
      </c>
      <c r="C103" s="492" t="s">
        <v>2290</v>
      </c>
      <c r="D103" s="492" t="s">
        <v>2507</v>
      </c>
      <c r="E103" s="3">
        <v>10035</v>
      </c>
      <c r="F103" s="3">
        <v>10000</v>
      </c>
      <c r="G103" s="3">
        <v>10000</v>
      </c>
      <c r="H103" s="3">
        <v>10000</v>
      </c>
      <c r="I103" s="3">
        <v>10000</v>
      </c>
    </row>
    <row r="104" spans="1:9" x14ac:dyDescent="0.2">
      <c r="A104" s="3" t="s">
        <v>1551</v>
      </c>
      <c r="B104" s="3">
        <v>3000</v>
      </c>
      <c r="C104" s="3">
        <v>3000</v>
      </c>
      <c r="D104" s="3">
        <v>3000</v>
      </c>
    </row>
    <row r="105" spans="1:9" x14ac:dyDescent="0.2">
      <c r="A105" s="3" t="s">
        <v>639</v>
      </c>
      <c r="B105" s="3">
        <v>5000</v>
      </c>
      <c r="C105" s="3">
        <v>5000</v>
      </c>
      <c r="D105" s="3">
        <v>5000</v>
      </c>
    </row>
    <row r="106" spans="1:9" x14ac:dyDescent="0.2">
      <c r="A106" s="3" t="s">
        <v>1669</v>
      </c>
      <c r="B106" s="3">
        <v>500</v>
      </c>
      <c r="C106" s="3">
        <v>500</v>
      </c>
      <c r="D106" s="3">
        <v>500</v>
      </c>
    </row>
    <row r="107" spans="1:9" x14ac:dyDescent="0.2">
      <c r="A107" s="3" t="s">
        <v>342</v>
      </c>
      <c r="B107" s="3">
        <v>700</v>
      </c>
      <c r="C107" s="3">
        <v>700</v>
      </c>
      <c r="D107" s="3">
        <v>700</v>
      </c>
    </row>
    <row r="108" spans="1:9" ht="15" x14ac:dyDescent="0.35">
      <c r="A108" s="3" t="s">
        <v>343</v>
      </c>
      <c r="B108" s="14">
        <v>800</v>
      </c>
      <c r="C108" s="14">
        <v>800</v>
      </c>
      <c r="D108" s="14">
        <v>800</v>
      </c>
    </row>
    <row r="109" spans="1:9" x14ac:dyDescent="0.2">
      <c r="A109" s="3" t="s">
        <v>1320</v>
      </c>
      <c r="B109" s="3">
        <f>SUM(B104:B108)</f>
        <v>10000</v>
      </c>
      <c r="C109" s="3">
        <f>SUM(C104:C108)</f>
        <v>10000</v>
      </c>
      <c r="D109" s="3">
        <f>SUM(D104:D108)</f>
        <v>10000</v>
      </c>
    </row>
    <row r="111" spans="1:9" ht="15" x14ac:dyDescent="0.35">
      <c r="A111" s="55" t="s">
        <v>344</v>
      </c>
      <c r="B111" s="492" t="s">
        <v>2163</v>
      </c>
      <c r="C111" s="492" t="s">
        <v>2290</v>
      </c>
      <c r="D111" s="492" t="s">
        <v>2507</v>
      </c>
      <c r="E111" s="3">
        <v>7851</v>
      </c>
      <c r="F111" s="3">
        <v>11250</v>
      </c>
      <c r="G111" s="3">
        <v>11250</v>
      </c>
      <c r="H111" s="3">
        <v>11250</v>
      </c>
      <c r="I111" s="3">
        <v>11250</v>
      </c>
    </row>
    <row r="112" spans="1:9" x14ac:dyDescent="0.2">
      <c r="A112" s="3" t="s">
        <v>345</v>
      </c>
      <c r="B112" s="3">
        <v>11100</v>
      </c>
      <c r="C112" s="3">
        <v>11250</v>
      </c>
      <c r="D112" s="3">
        <v>11250</v>
      </c>
    </row>
    <row r="113" spans="1:9" ht="15" x14ac:dyDescent="0.35">
      <c r="A113" s="3" t="s">
        <v>346</v>
      </c>
      <c r="B113" s="14">
        <v>800</v>
      </c>
      <c r="C113" s="14">
        <v>0</v>
      </c>
      <c r="D113" s="14">
        <v>0</v>
      </c>
    </row>
    <row r="114" spans="1:9" x14ac:dyDescent="0.2">
      <c r="A114" s="3" t="s">
        <v>1320</v>
      </c>
      <c r="B114" s="19">
        <f>SUM(B112:B113)</f>
        <v>11900</v>
      </c>
      <c r="C114" s="19">
        <f>SUM(C112:C113)</f>
        <v>11250</v>
      </c>
      <c r="D114" s="19">
        <f>SUM(D112:D113)</f>
        <v>11250</v>
      </c>
    </row>
    <row r="116" spans="1:9" ht="15" x14ac:dyDescent="0.35">
      <c r="A116" s="55" t="s">
        <v>347</v>
      </c>
      <c r="B116" s="492" t="s">
        <v>2163</v>
      </c>
      <c r="C116" s="492" t="s">
        <v>2290</v>
      </c>
      <c r="D116" s="492" t="s">
        <v>2507</v>
      </c>
      <c r="E116" s="3">
        <v>12326</v>
      </c>
      <c r="F116" s="3">
        <v>10900</v>
      </c>
      <c r="G116" s="3">
        <v>25400</v>
      </c>
      <c r="H116" s="3">
        <v>25400</v>
      </c>
      <c r="I116" s="3">
        <v>25400</v>
      </c>
    </row>
    <row r="117" spans="1:9" x14ac:dyDescent="0.2">
      <c r="A117" s="3" t="s">
        <v>1026</v>
      </c>
      <c r="B117" s="3">
        <v>4000</v>
      </c>
      <c r="C117" s="3">
        <v>4250</v>
      </c>
      <c r="D117" s="3">
        <v>5250</v>
      </c>
    </row>
    <row r="118" spans="1:9" x14ac:dyDescent="0.2">
      <c r="A118" s="3" t="s">
        <v>225</v>
      </c>
      <c r="B118" s="3">
        <v>5400</v>
      </c>
      <c r="C118" s="3">
        <f>85*5*12</f>
        <v>5100</v>
      </c>
      <c r="D118" s="3">
        <f>85*5*12</f>
        <v>5100</v>
      </c>
    </row>
    <row r="119" spans="1:9" x14ac:dyDescent="0.2">
      <c r="A119" s="3" t="s">
        <v>2099</v>
      </c>
      <c r="B119" s="3">
        <v>50</v>
      </c>
      <c r="C119" s="3">
        <v>50</v>
      </c>
      <c r="D119" s="3">
        <v>50</v>
      </c>
    </row>
    <row r="120" spans="1:9" ht="15" x14ac:dyDescent="0.35">
      <c r="A120" s="3" t="s">
        <v>321</v>
      </c>
      <c r="B120" s="14">
        <v>2000</v>
      </c>
      <c r="C120" s="14">
        <v>1500</v>
      </c>
      <c r="D120" s="14">
        <v>15000</v>
      </c>
    </row>
    <row r="121" spans="1:9" x14ac:dyDescent="0.2">
      <c r="A121" s="3" t="s">
        <v>1320</v>
      </c>
      <c r="B121" s="3">
        <f>SUM(B117:B120)</f>
        <v>11450</v>
      </c>
      <c r="C121" s="3">
        <f>SUM(C117:C120)</f>
        <v>10900</v>
      </c>
      <c r="D121" s="3">
        <f>SUM(D117:D120)</f>
        <v>25400</v>
      </c>
    </row>
    <row r="123" spans="1:9" ht="15" x14ac:dyDescent="0.35">
      <c r="A123" s="55" t="s">
        <v>1458</v>
      </c>
      <c r="B123" s="492" t="s">
        <v>2163</v>
      </c>
      <c r="C123" s="492" t="s">
        <v>2163</v>
      </c>
      <c r="D123" s="492" t="s">
        <v>2507</v>
      </c>
      <c r="E123" s="3">
        <v>26513</v>
      </c>
      <c r="F123" s="3">
        <v>27134</v>
      </c>
      <c r="G123" s="3">
        <v>28815</v>
      </c>
      <c r="H123" s="3">
        <v>28815</v>
      </c>
      <c r="I123" s="3">
        <v>28815</v>
      </c>
    </row>
    <row r="124" spans="1:9" x14ac:dyDescent="0.2">
      <c r="A124" s="3" t="s">
        <v>1459</v>
      </c>
      <c r="B124" s="3">
        <v>25319</v>
      </c>
      <c r="C124" s="3">
        <v>25319</v>
      </c>
      <c r="D124" s="3">
        <v>27000</v>
      </c>
    </row>
    <row r="125" spans="1:9" x14ac:dyDescent="0.2">
      <c r="A125" s="3" t="s">
        <v>1205</v>
      </c>
      <c r="B125" s="3">
        <v>250</v>
      </c>
      <c r="C125" s="3">
        <v>250</v>
      </c>
      <c r="D125" s="3">
        <v>250</v>
      </c>
    </row>
    <row r="126" spans="1:9" x14ac:dyDescent="0.2">
      <c r="A126" s="3" t="s">
        <v>1206</v>
      </c>
      <c r="B126" s="3">
        <v>1000</v>
      </c>
      <c r="C126" s="3">
        <v>1000</v>
      </c>
      <c r="D126" s="3">
        <v>1000</v>
      </c>
    </row>
    <row r="127" spans="1:9" x14ac:dyDescent="0.2">
      <c r="A127" s="3" t="s">
        <v>1277</v>
      </c>
      <c r="B127" s="3">
        <v>360</v>
      </c>
      <c r="C127" s="3">
        <v>360</v>
      </c>
      <c r="D127" s="3">
        <v>360</v>
      </c>
    </row>
    <row r="128" spans="1:9" x14ac:dyDescent="0.2">
      <c r="A128" s="3" t="s">
        <v>1083</v>
      </c>
      <c r="B128" s="3">
        <v>175</v>
      </c>
      <c r="C128" s="3">
        <v>175</v>
      </c>
      <c r="D128" s="3">
        <v>175</v>
      </c>
    </row>
    <row r="129" spans="1:9" ht="15" x14ac:dyDescent="0.35">
      <c r="A129" s="3" t="s">
        <v>1608</v>
      </c>
      <c r="B129" s="14">
        <v>30</v>
      </c>
      <c r="C129" s="14">
        <v>30</v>
      </c>
      <c r="D129" s="14">
        <v>30</v>
      </c>
    </row>
    <row r="130" spans="1:9" x14ac:dyDescent="0.2">
      <c r="A130" s="3" t="s">
        <v>1320</v>
      </c>
      <c r="B130" s="3">
        <f>SUM(B124:B129)</f>
        <v>27134</v>
      </c>
      <c r="C130" s="3">
        <f>SUM(C124:C129)</f>
        <v>27134</v>
      </c>
      <c r="D130" s="3">
        <f>SUM(D124:D129)</f>
        <v>28815</v>
      </c>
    </row>
    <row r="132" spans="1:9" ht="15" x14ac:dyDescent="0.35">
      <c r="A132" s="55" t="s">
        <v>189</v>
      </c>
      <c r="B132" s="492" t="s">
        <v>2163</v>
      </c>
      <c r="C132" s="492" t="s">
        <v>2290</v>
      </c>
      <c r="D132" s="492" t="s">
        <v>2507</v>
      </c>
      <c r="E132" s="3">
        <v>3688</v>
      </c>
      <c r="F132" s="3">
        <v>3970</v>
      </c>
      <c r="G132" s="3">
        <v>3970</v>
      </c>
      <c r="H132" s="3">
        <v>3970</v>
      </c>
      <c r="I132" s="3">
        <v>3970</v>
      </c>
    </row>
    <row r="133" spans="1:9" x14ac:dyDescent="0.2">
      <c r="A133" s="54" t="s">
        <v>2443</v>
      </c>
      <c r="B133" s="19">
        <v>0</v>
      </c>
      <c r="C133" s="19">
        <v>2400</v>
      </c>
      <c r="D133" s="19">
        <v>2400</v>
      </c>
    </row>
    <row r="134" spans="1:9" x14ac:dyDescent="0.2">
      <c r="A134" s="3" t="s">
        <v>343</v>
      </c>
      <c r="B134" s="3">
        <v>300</v>
      </c>
      <c r="C134" s="3">
        <v>300</v>
      </c>
      <c r="D134" s="3">
        <v>300</v>
      </c>
    </row>
    <row r="135" spans="1:9" x14ac:dyDescent="0.2">
      <c r="A135" s="3" t="s">
        <v>1319</v>
      </c>
      <c r="B135" s="3">
        <v>600</v>
      </c>
      <c r="C135" s="3">
        <v>600</v>
      </c>
      <c r="D135" s="3">
        <v>600</v>
      </c>
    </row>
    <row r="136" spans="1:9" ht="15" x14ac:dyDescent="0.35">
      <c r="A136" s="3" t="s">
        <v>1133</v>
      </c>
      <c r="B136" s="14">
        <v>670</v>
      </c>
      <c r="C136" s="14">
        <v>670</v>
      </c>
      <c r="D136" s="14">
        <v>670</v>
      </c>
    </row>
    <row r="137" spans="1:9" x14ac:dyDescent="0.2">
      <c r="A137" s="3" t="s">
        <v>1320</v>
      </c>
      <c r="B137" s="3">
        <f>SUM(B133:B136)</f>
        <v>1570</v>
      </c>
      <c r="C137" s="3">
        <f>SUM(C133:C136)</f>
        <v>3970</v>
      </c>
      <c r="D137" s="3">
        <f>SUM(D133:D136)</f>
        <v>3970</v>
      </c>
    </row>
    <row r="139" spans="1:9" ht="15" x14ac:dyDescent="0.35">
      <c r="A139" s="55" t="s">
        <v>1135</v>
      </c>
      <c r="B139" s="492" t="s">
        <v>2163</v>
      </c>
      <c r="C139" s="492" t="s">
        <v>2290</v>
      </c>
      <c r="D139" s="492" t="s">
        <v>2507</v>
      </c>
      <c r="E139" s="3">
        <v>17731</v>
      </c>
      <c r="F139" s="3">
        <v>9755</v>
      </c>
      <c r="G139" s="3">
        <v>10243</v>
      </c>
      <c r="H139" s="3">
        <v>10243</v>
      </c>
      <c r="I139" s="3">
        <v>10243</v>
      </c>
    </row>
    <row r="140" spans="1:9" x14ac:dyDescent="0.2">
      <c r="A140" s="3" t="s">
        <v>1136</v>
      </c>
      <c r="B140" s="3">
        <v>9027</v>
      </c>
      <c r="C140" s="3">
        <v>9755</v>
      </c>
      <c r="D140" s="3">
        <v>10243</v>
      </c>
    </row>
    <row r="142" spans="1:9" ht="15" x14ac:dyDescent="0.35">
      <c r="A142" s="55" t="s">
        <v>1137</v>
      </c>
      <c r="B142" s="492" t="s">
        <v>2163</v>
      </c>
      <c r="C142" s="492" t="s">
        <v>2290</v>
      </c>
      <c r="D142" s="492" t="s">
        <v>2507</v>
      </c>
      <c r="E142" s="3">
        <v>218502</v>
      </c>
      <c r="F142" s="3">
        <v>140000</v>
      </c>
      <c r="G142" s="3">
        <v>140000</v>
      </c>
      <c r="H142" s="3">
        <v>140000</v>
      </c>
      <c r="I142" s="3">
        <v>140000</v>
      </c>
    </row>
    <row r="143" spans="1:9" x14ac:dyDescent="0.2">
      <c r="A143" s="3" t="s">
        <v>451</v>
      </c>
      <c r="B143" s="3">
        <v>100000</v>
      </c>
      <c r="C143" s="3">
        <v>125000</v>
      </c>
      <c r="D143" s="3">
        <v>125000</v>
      </c>
    </row>
    <row r="144" spans="1:9" ht="15" x14ac:dyDescent="0.35">
      <c r="A144" s="3" t="s">
        <v>2153</v>
      </c>
      <c r="B144" s="14">
        <v>10000</v>
      </c>
      <c r="C144" s="14">
        <v>15000</v>
      </c>
      <c r="D144" s="14">
        <v>15000</v>
      </c>
    </row>
    <row r="145" spans="1:9" x14ac:dyDescent="0.2">
      <c r="B145" s="3">
        <f>SUM(B143:B144)</f>
        <v>110000</v>
      </c>
      <c r="C145" s="3">
        <f>SUM(C143:C144)</f>
        <v>140000</v>
      </c>
      <c r="D145" s="3">
        <f>SUM(D143:D144)</f>
        <v>140000</v>
      </c>
    </row>
    <row r="147" spans="1:9" ht="15" x14ac:dyDescent="0.35">
      <c r="A147" s="55" t="s">
        <v>1138</v>
      </c>
      <c r="B147" s="492" t="s">
        <v>2163</v>
      </c>
      <c r="C147" s="492" t="s">
        <v>2290</v>
      </c>
      <c r="D147" s="492" t="s">
        <v>2507</v>
      </c>
      <c r="E147" s="3">
        <v>790</v>
      </c>
      <c r="F147" s="3">
        <v>1750</v>
      </c>
      <c r="G147" s="3">
        <v>1750</v>
      </c>
      <c r="H147" s="3">
        <v>1750</v>
      </c>
      <c r="I147" s="3">
        <v>1750</v>
      </c>
    </row>
    <row r="148" spans="1:9" x14ac:dyDescent="0.2">
      <c r="A148" s="3" t="s">
        <v>569</v>
      </c>
      <c r="B148" s="3">
        <v>250</v>
      </c>
      <c r="C148" s="3">
        <v>250</v>
      </c>
      <c r="D148" s="3">
        <v>250</v>
      </c>
    </row>
    <row r="149" spans="1:9" x14ac:dyDescent="0.2">
      <c r="A149" s="3" t="s">
        <v>155</v>
      </c>
      <c r="B149" s="3">
        <v>250</v>
      </c>
      <c r="C149" s="3">
        <v>250</v>
      </c>
      <c r="D149" s="3">
        <v>250</v>
      </c>
    </row>
    <row r="150" spans="1:9" x14ac:dyDescent="0.2">
      <c r="A150" s="3" t="s">
        <v>245</v>
      </c>
      <c r="B150" s="3">
        <v>250</v>
      </c>
      <c r="C150" s="3">
        <v>250</v>
      </c>
      <c r="D150" s="3">
        <v>250</v>
      </c>
    </row>
    <row r="151" spans="1:9" ht="15" x14ac:dyDescent="0.35">
      <c r="A151" s="3" t="s">
        <v>343</v>
      </c>
      <c r="B151" s="14">
        <v>1000</v>
      </c>
      <c r="C151" s="14">
        <v>1000</v>
      </c>
      <c r="D151" s="14">
        <v>1000</v>
      </c>
    </row>
    <row r="152" spans="1:9" x14ac:dyDescent="0.2">
      <c r="A152" s="3" t="s">
        <v>1320</v>
      </c>
      <c r="B152" s="3">
        <f>SUM(B148:B151)</f>
        <v>1750</v>
      </c>
      <c r="C152" s="3">
        <f>SUM(C148:C151)</f>
        <v>1750</v>
      </c>
      <c r="D152" s="3">
        <f>SUM(D148:D151)</f>
        <v>1750</v>
      </c>
    </row>
    <row r="154" spans="1:9" ht="15" x14ac:dyDescent="0.35">
      <c r="A154" s="55" t="s">
        <v>568</v>
      </c>
      <c r="B154" s="492" t="s">
        <v>2163</v>
      </c>
      <c r="C154" s="492" t="s">
        <v>2290</v>
      </c>
      <c r="D154" s="492" t="s">
        <v>2507</v>
      </c>
      <c r="E154" s="3">
        <v>6721</v>
      </c>
      <c r="F154" s="3">
        <v>11483</v>
      </c>
      <c r="G154" s="3">
        <v>12595</v>
      </c>
      <c r="H154" s="3">
        <v>12595</v>
      </c>
      <c r="I154" s="3">
        <v>12595</v>
      </c>
    </row>
    <row r="155" spans="1:9" x14ac:dyDescent="0.2">
      <c r="A155" s="3" t="s">
        <v>1141</v>
      </c>
      <c r="B155" s="3">
        <v>1885</v>
      </c>
      <c r="C155" s="3">
        <v>1885</v>
      </c>
      <c r="D155" s="3">
        <v>2500</v>
      </c>
    </row>
    <row r="156" spans="1:9" x14ac:dyDescent="0.2">
      <c r="A156" s="3" t="s">
        <v>553</v>
      </c>
      <c r="B156" s="3">
        <v>2003</v>
      </c>
      <c r="C156" s="3">
        <v>2003</v>
      </c>
      <c r="D156" s="3">
        <v>2500</v>
      </c>
    </row>
    <row r="157" spans="1:9" x14ac:dyDescent="0.2">
      <c r="A157" s="3" t="s">
        <v>661</v>
      </c>
      <c r="B157" s="3">
        <v>945</v>
      </c>
      <c r="C157" s="3">
        <v>945</v>
      </c>
      <c r="D157" s="3">
        <v>945</v>
      </c>
    </row>
    <row r="158" spans="1:9" x14ac:dyDescent="0.2">
      <c r="A158" s="3" t="s">
        <v>2170</v>
      </c>
      <c r="B158" s="3">
        <v>0</v>
      </c>
      <c r="C158" s="3">
        <v>6500</v>
      </c>
      <c r="D158" s="3">
        <v>6500</v>
      </c>
    </row>
    <row r="159" spans="1:9" ht="15" x14ac:dyDescent="0.35">
      <c r="A159" s="3" t="s">
        <v>343</v>
      </c>
      <c r="B159" s="14">
        <v>150</v>
      </c>
      <c r="C159" s="14">
        <v>150</v>
      </c>
      <c r="D159" s="14">
        <v>150</v>
      </c>
    </row>
    <row r="160" spans="1:9" x14ac:dyDescent="0.2">
      <c r="A160" s="3" t="s">
        <v>1320</v>
      </c>
      <c r="B160" s="3">
        <f>SUM(B155:B159)</f>
        <v>4983</v>
      </c>
      <c r="C160" s="3">
        <f>SUM(C155:C159)</f>
        <v>11483</v>
      </c>
      <c r="D160" s="3">
        <f>SUM(D155:D159)</f>
        <v>12595</v>
      </c>
    </row>
    <row r="162" spans="1:9" ht="15" x14ac:dyDescent="0.35">
      <c r="A162" s="55" t="s">
        <v>48</v>
      </c>
      <c r="B162" s="492" t="s">
        <v>2163</v>
      </c>
      <c r="C162" s="492" t="s">
        <v>2163</v>
      </c>
      <c r="D162" s="492" t="s">
        <v>2507</v>
      </c>
      <c r="E162" s="3">
        <v>6598</v>
      </c>
      <c r="F162" s="3">
        <v>5000</v>
      </c>
      <c r="G162" s="3">
        <v>5000</v>
      </c>
      <c r="H162" s="3">
        <v>5000</v>
      </c>
      <c r="I162" s="3">
        <v>5000</v>
      </c>
    </row>
    <row r="163" spans="1:9" x14ac:dyDescent="0.2">
      <c r="A163" s="3" t="s">
        <v>691</v>
      </c>
      <c r="B163" s="3">
        <v>5000</v>
      </c>
      <c r="C163" s="3">
        <v>5000</v>
      </c>
      <c r="D163" s="3">
        <v>5000</v>
      </c>
    </row>
    <row r="164" spans="1:9" ht="15" x14ac:dyDescent="0.35">
      <c r="A164" s="3" t="s">
        <v>1929</v>
      </c>
      <c r="B164" s="33">
        <v>0</v>
      </c>
      <c r="C164" s="33">
        <v>0</v>
      </c>
      <c r="D164" s="33">
        <v>0</v>
      </c>
    </row>
    <row r="165" spans="1:9" x14ac:dyDescent="0.2">
      <c r="B165" s="3">
        <f>SUM(B163:B164)</f>
        <v>5000</v>
      </c>
      <c r="C165" s="3">
        <f>SUM(C163:C164)</f>
        <v>5000</v>
      </c>
      <c r="D165" s="3">
        <f>SUM(D163:D164)</f>
        <v>5000</v>
      </c>
    </row>
    <row r="167" spans="1:9" ht="15" x14ac:dyDescent="0.35">
      <c r="A167" s="55" t="s">
        <v>49</v>
      </c>
      <c r="B167" s="492" t="s">
        <v>2163</v>
      </c>
      <c r="C167" s="492" t="s">
        <v>2290</v>
      </c>
      <c r="D167" s="492" t="s">
        <v>2507</v>
      </c>
      <c r="E167" s="3">
        <v>9632</v>
      </c>
      <c r="F167" s="3">
        <v>13650</v>
      </c>
      <c r="G167" s="3">
        <v>13650</v>
      </c>
      <c r="H167" s="3">
        <v>13650</v>
      </c>
      <c r="I167" s="3">
        <v>13650</v>
      </c>
    </row>
    <row r="168" spans="1:9" x14ac:dyDescent="0.2">
      <c r="A168" s="3" t="s">
        <v>569</v>
      </c>
      <c r="B168" s="3">
        <v>750</v>
      </c>
      <c r="C168" s="3">
        <v>750</v>
      </c>
      <c r="D168" s="3">
        <v>750</v>
      </c>
    </row>
    <row r="169" spans="1:9" x14ac:dyDescent="0.2">
      <c r="A169" s="3" t="s">
        <v>1114</v>
      </c>
      <c r="B169" s="3">
        <v>500</v>
      </c>
      <c r="C169" s="3">
        <v>500</v>
      </c>
      <c r="D169" s="3">
        <v>500</v>
      </c>
    </row>
    <row r="170" spans="1:9" x14ac:dyDescent="0.2">
      <c r="A170" s="3" t="s">
        <v>1658</v>
      </c>
      <c r="B170" s="3">
        <v>2500</v>
      </c>
      <c r="C170" s="3">
        <v>2500</v>
      </c>
      <c r="D170" s="3">
        <v>2500</v>
      </c>
    </row>
    <row r="171" spans="1:9" x14ac:dyDescent="0.2">
      <c r="A171" s="3" t="s">
        <v>295</v>
      </c>
      <c r="B171" s="3">
        <v>150</v>
      </c>
      <c r="C171" s="3">
        <v>150</v>
      </c>
      <c r="D171" s="3">
        <v>150</v>
      </c>
    </row>
    <row r="172" spans="1:9" x14ac:dyDescent="0.2">
      <c r="A172" s="3" t="s">
        <v>1659</v>
      </c>
      <c r="B172" s="3">
        <v>1000</v>
      </c>
      <c r="C172" s="3">
        <v>1000</v>
      </c>
      <c r="D172" s="3">
        <v>1000</v>
      </c>
    </row>
    <row r="173" spans="1:9" x14ac:dyDescent="0.2">
      <c r="A173" s="3" t="s">
        <v>294</v>
      </c>
      <c r="B173" s="3">
        <v>1000</v>
      </c>
      <c r="C173" s="3">
        <v>1000</v>
      </c>
      <c r="D173" s="3">
        <v>1000</v>
      </c>
    </row>
    <row r="174" spans="1:9" x14ac:dyDescent="0.2">
      <c r="A174" s="3" t="s">
        <v>246</v>
      </c>
      <c r="B174" s="3">
        <v>250</v>
      </c>
      <c r="C174" s="3">
        <v>250</v>
      </c>
      <c r="D174" s="3">
        <v>250</v>
      </c>
    </row>
    <row r="175" spans="1:9" ht="15" x14ac:dyDescent="0.35">
      <c r="A175" s="3" t="s">
        <v>33</v>
      </c>
      <c r="B175" s="14">
        <v>7500</v>
      </c>
      <c r="C175" s="14">
        <v>7500</v>
      </c>
      <c r="D175" s="14">
        <v>7500</v>
      </c>
    </row>
    <row r="176" spans="1:9" x14ac:dyDescent="0.2">
      <c r="A176" s="3" t="s">
        <v>1320</v>
      </c>
      <c r="B176" s="3">
        <f>SUM(B168:B175)</f>
        <v>13650</v>
      </c>
      <c r="C176" s="3">
        <f>SUM(C168:C175)</f>
        <v>13650</v>
      </c>
      <c r="D176" s="3">
        <f>SUM(D168:D175)</f>
        <v>13650</v>
      </c>
    </row>
    <row r="178" spans="1:9" ht="15" x14ac:dyDescent="0.35">
      <c r="A178" s="55" t="s">
        <v>1212</v>
      </c>
      <c r="B178" s="492" t="s">
        <v>2163</v>
      </c>
      <c r="C178" s="492" t="s">
        <v>2290</v>
      </c>
      <c r="D178" s="492" t="s">
        <v>2507</v>
      </c>
      <c r="E178" s="3">
        <v>144920</v>
      </c>
      <c r="F178" s="3">
        <v>130900</v>
      </c>
      <c r="G178" s="3">
        <v>213707</v>
      </c>
      <c r="H178" s="3">
        <v>213707</v>
      </c>
      <c r="I178" s="3">
        <v>175933</v>
      </c>
    </row>
    <row r="179" spans="1:9" x14ac:dyDescent="0.2">
      <c r="A179" s="3" t="s">
        <v>624</v>
      </c>
      <c r="B179" s="3">
        <v>42500</v>
      </c>
      <c r="C179" s="3">
        <v>64000</v>
      </c>
      <c r="D179" s="3">
        <v>64000</v>
      </c>
    </row>
    <row r="180" spans="1:9" x14ac:dyDescent="0.2">
      <c r="A180" s="3" t="s">
        <v>685</v>
      </c>
      <c r="B180" s="3">
        <v>12000</v>
      </c>
      <c r="C180" s="3">
        <v>7000</v>
      </c>
      <c r="D180" s="3">
        <v>9500</v>
      </c>
    </row>
    <row r="181" spans="1:9" x14ac:dyDescent="0.2">
      <c r="A181" s="3" t="s">
        <v>78</v>
      </c>
      <c r="B181" s="3">
        <v>5000</v>
      </c>
      <c r="C181" s="3">
        <v>5000</v>
      </c>
      <c r="D181" s="3">
        <v>13793.18</v>
      </c>
    </row>
    <row r="182" spans="1:9" x14ac:dyDescent="0.2">
      <c r="A182" s="3" t="s">
        <v>1647</v>
      </c>
      <c r="B182" s="3">
        <v>2300</v>
      </c>
      <c r="C182" s="3">
        <v>6800</v>
      </c>
      <c r="D182" s="3">
        <v>8800</v>
      </c>
    </row>
    <row r="183" spans="1:9" x14ac:dyDescent="0.2">
      <c r="A183" s="3" t="s">
        <v>2583</v>
      </c>
      <c r="B183" s="3">
        <v>23100</v>
      </c>
      <c r="C183" s="3">
        <v>23100</v>
      </c>
      <c r="D183" s="3">
        <v>29000</v>
      </c>
    </row>
    <row r="184" spans="1:9" x14ac:dyDescent="0.2">
      <c r="A184" s="3" t="s">
        <v>2581</v>
      </c>
      <c r="B184" s="3">
        <v>0</v>
      </c>
      <c r="C184" s="3">
        <v>0</v>
      </c>
      <c r="D184" s="3">
        <v>15840</v>
      </c>
    </row>
    <row r="185" spans="1:9" x14ac:dyDescent="0.2">
      <c r="A185" s="3" t="s">
        <v>2582</v>
      </c>
      <c r="B185" s="3">
        <v>0</v>
      </c>
      <c r="C185" s="3">
        <v>0</v>
      </c>
      <c r="D185" s="3">
        <v>0</v>
      </c>
    </row>
    <row r="186" spans="1:9" ht="15" x14ac:dyDescent="0.35">
      <c r="A186" s="3" t="s">
        <v>678</v>
      </c>
      <c r="B186" s="14">
        <f>35000-10000</f>
        <v>25000</v>
      </c>
      <c r="C186" s="14">
        <v>25000</v>
      </c>
      <c r="D186" s="14">
        <v>35000</v>
      </c>
    </row>
    <row r="187" spans="1:9" x14ac:dyDescent="0.2">
      <c r="A187" s="3" t="s">
        <v>1320</v>
      </c>
      <c r="B187" s="3">
        <f>SUM(B179:B186)</f>
        <v>109900</v>
      </c>
      <c r="C187" s="3">
        <f>SUM(C179:C186)</f>
        <v>130900</v>
      </c>
      <c r="D187" s="3">
        <f>SUM(D179:D186)</f>
        <v>175933.18</v>
      </c>
    </row>
    <row r="189" spans="1:9" ht="15" x14ac:dyDescent="0.35">
      <c r="A189" s="55" t="s">
        <v>625</v>
      </c>
      <c r="B189" s="492" t="s">
        <v>2163</v>
      </c>
      <c r="C189" s="492" t="s">
        <v>2290</v>
      </c>
      <c r="D189" s="492" t="s">
        <v>2507</v>
      </c>
      <c r="E189" s="3">
        <v>142801</v>
      </c>
      <c r="F189" s="3">
        <v>118200</v>
      </c>
      <c r="G189" s="3">
        <v>143700</v>
      </c>
      <c r="H189" s="3">
        <v>143700</v>
      </c>
      <c r="I189" s="3">
        <v>125200</v>
      </c>
    </row>
    <row r="190" spans="1:9" x14ac:dyDescent="0.2">
      <c r="A190" s="3" t="s">
        <v>626</v>
      </c>
      <c r="B190" s="3">
        <f>36000-3000</f>
        <v>33000</v>
      </c>
      <c r="C190" s="3">
        <f>36000-3000</f>
        <v>33000</v>
      </c>
      <c r="D190" s="3">
        <f>35000</f>
        <v>35000</v>
      </c>
    </row>
    <row r="191" spans="1:9" x14ac:dyDescent="0.2">
      <c r="A191" s="3" t="s">
        <v>2528</v>
      </c>
      <c r="B191" s="3">
        <v>0</v>
      </c>
      <c r="C191" s="3">
        <v>0</v>
      </c>
      <c r="D191" s="3">
        <v>0</v>
      </c>
    </row>
    <row r="192" spans="1:9" x14ac:dyDescent="0.2">
      <c r="A192" s="3" t="s">
        <v>1129</v>
      </c>
      <c r="B192" s="3">
        <f>15000-3000</f>
        <v>12000</v>
      </c>
      <c r="C192" s="3">
        <v>15500</v>
      </c>
      <c r="D192" s="3">
        <v>15500</v>
      </c>
    </row>
    <row r="193" spans="1:9" x14ac:dyDescent="0.2">
      <c r="A193" s="3" t="s">
        <v>2527</v>
      </c>
      <c r="B193" s="3">
        <v>0</v>
      </c>
      <c r="C193" s="3">
        <v>0</v>
      </c>
      <c r="D193" s="3">
        <v>3000</v>
      </c>
    </row>
    <row r="194" spans="1:9" x14ac:dyDescent="0.2">
      <c r="A194" s="3" t="s">
        <v>2021</v>
      </c>
      <c r="B194" s="3">
        <v>4000</v>
      </c>
      <c r="C194" s="3">
        <v>4000</v>
      </c>
      <c r="D194" s="3">
        <v>4000</v>
      </c>
    </row>
    <row r="195" spans="1:9" x14ac:dyDescent="0.2">
      <c r="A195" s="3" t="s">
        <v>1824</v>
      </c>
      <c r="B195" s="3">
        <v>12000</v>
      </c>
      <c r="C195" s="3">
        <v>12000</v>
      </c>
      <c r="D195" s="3">
        <v>12000</v>
      </c>
    </row>
    <row r="196" spans="1:9" x14ac:dyDescent="0.2">
      <c r="A196" s="3" t="s">
        <v>976</v>
      </c>
      <c r="B196" s="3">
        <v>3700</v>
      </c>
      <c r="C196" s="3">
        <v>3700</v>
      </c>
      <c r="D196" s="3">
        <v>3700</v>
      </c>
    </row>
    <row r="197" spans="1:9" x14ac:dyDescent="0.2">
      <c r="A197" s="3" t="s">
        <v>801</v>
      </c>
      <c r="B197" s="21">
        <f>48150-4000</f>
        <v>44150</v>
      </c>
      <c r="C197" s="21">
        <v>50000</v>
      </c>
      <c r="D197" s="21">
        <v>52000</v>
      </c>
    </row>
    <row r="198" spans="1:9" x14ac:dyDescent="0.2">
      <c r="A198" s="3" t="s">
        <v>1320</v>
      </c>
      <c r="B198" s="3">
        <f>SUM(B190:B197)</f>
        <v>108850</v>
      </c>
      <c r="C198" s="3">
        <f>SUM(C190:C197)</f>
        <v>118200</v>
      </c>
      <c r="D198" s="3">
        <f>SUM(D190:D197)</f>
        <v>125200</v>
      </c>
    </row>
    <row r="200" spans="1:9" ht="15" x14ac:dyDescent="0.35">
      <c r="A200" s="55" t="s">
        <v>683</v>
      </c>
      <c r="B200" s="492" t="s">
        <v>2163</v>
      </c>
      <c r="C200" s="492" t="s">
        <v>2290</v>
      </c>
      <c r="D200" s="492" t="s">
        <v>2507</v>
      </c>
      <c r="E200" s="3">
        <v>38866</v>
      </c>
      <c r="F200" s="3">
        <v>38866</v>
      </c>
      <c r="G200" s="3">
        <v>38866</v>
      </c>
      <c r="H200" s="3">
        <v>38866</v>
      </c>
      <c r="I200" s="3">
        <v>38866</v>
      </c>
    </row>
    <row r="201" spans="1:9" x14ac:dyDescent="0.2">
      <c r="A201" s="3" t="s">
        <v>438</v>
      </c>
      <c r="B201" s="3">
        <v>38866</v>
      </c>
      <c r="C201" s="3">
        <v>38866</v>
      </c>
      <c r="D201" s="3">
        <v>38866</v>
      </c>
    </row>
    <row r="203" spans="1:9" ht="13.5" x14ac:dyDescent="0.25">
      <c r="A203" s="55" t="s">
        <v>636</v>
      </c>
      <c r="E203" s="3">
        <v>10030</v>
      </c>
      <c r="F203" s="3">
        <v>10425</v>
      </c>
      <c r="G203" s="3">
        <v>10000</v>
      </c>
      <c r="H203" s="3">
        <v>10000</v>
      </c>
      <c r="I203" s="3">
        <v>10000</v>
      </c>
    </row>
    <row r="204" spans="1:9" ht="15" x14ac:dyDescent="0.35">
      <c r="A204" s="3" t="s">
        <v>897</v>
      </c>
      <c r="B204" s="492" t="s">
        <v>2163</v>
      </c>
      <c r="C204" s="492" t="s">
        <v>2290</v>
      </c>
      <c r="D204" s="492" t="s">
        <v>2507</v>
      </c>
    </row>
    <row r="205" spans="1:9" x14ac:dyDescent="0.2">
      <c r="A205" s="3" t="s">
        <v>898</v>
      </c>
      <c r="B205" s="3">
        <v>600</v>
      </c>
      <c r="C205" s="3">
        <v>600</v>
      </c>
      <c r="D205" s="3">
        <v>600</v>
      </c>
    </row>
    <row r="206" spans="1:9" x14ac:dyDescent="0.2">
      <c r="A206" s="3" t="s">
        <v>2585</v>
      </c>
      <c r="B206" s="3">
        <v>550</v>
      </c>
      <c r="C206" s="3">
        <v>550</v>
      </c>
      <c r="D206" s="3">
        <v>1500</v>
      </c>
    </row>
    <row r="207" spans="1:9" x14ac:dyDescent="0.2">
      <c r="A207" s="3" t="s">
        <v>899</v>
      </c>
      <c r="B207" s="3">
        <v>1400</v>
      </c>
      <c r="C207" s="3">
        <v>1400</v>
      </c>
      <c r="D207" s="3">
        <v>3200</v>
      </c>
    </row>
    <row r="208" spans="1:9" x14ac:dyDescent="0.2">
      <c r="A208" s="3" t="s">
        <v>900</v>
      </c>
      <c r="B208" s="3">
        <v>1500</v>
      </c>
      <c r="C208" s="3">
        <v>1500</v>
      </c>
      <c r="D208" s="3">
        <v>1250</v>
      </c>
    </row>
    <row r="209" spans="1:9" x14ac:dyDescent="0.2">
      <c r="A209" s="3" t="s">
        <v>901</v>
      </c>
      <c r="B209" s="3">
        <v>120</v>
      </c>
      <c r="C209" s="3">
        <v>120</v>
      </c>
      <c r="D209" s="3">
        <v>120</v>
      </c>
    </row>
    <row r="210" spans="1:9" x14ac:dyDescent="0.2">
      <c r="A210" s="3" t="s">
        <v>887</v>
      </c>
      <c r="B210" s="3">
        <v>4500</v>
      </c>
      <c r="C210" s="3">
        <v>4500</v>
      </c>
      <c r="D210" s="3">
        <v>4500</v>
      </c>
    </row>
    <row r="211" spans="1:9" x14ac:dyDescent="0.2">
      <c r="A211" s="3" t="s">
        <v>802</v>
      </c>
      <c r="B211" s="3">
        <v>200</v>
      </c>
      <c r="C211" s="3">
        <v>200</v>
      </c>
      <c r="D211" s="3">
        <v>350</v>
      </c>
    </row>
    <row r="212" spans="1:9" x14ac:dyDescent="0.2">
      <c r="A212" s="3" t="s">
        <v>2193</v>
      </c>
      <c r="B212" s="3">
        <v>2400</v>
      </c>
      <c r="C212" s="3">
        <v>2400</v>
      </c>
      <c r="D212" s="3">
        <v>2400</v>
      </c>
    </row>
    <row r="213" spans="1:9" ht="15" x14ac:dyDescent="0.35">
      <c r="A213" s="3" t="s">
        <v>1365</v>
      </c>
      <c r="B213" s="14">
        <f>100+500+400+200+50</f>
        <v>1250</v>
      </c>
      <c r="C213" s="14">
        <f>100+500+400+200+50</f>
        <v>1250</v>
      </c>
      <c r="D213" s="14">
        <f>100+500+400+200+50</f>
        <v>1250</v>
      </c>
    </row>
    <row r="214" spans="1:9" x14ac:dyDescent="0.2">
      <c r="A214" s="3" t="s">
        <v>1366</v>
      </c>
      <c r="B214" s="3">
        <f>SUM(B205:B213)</f>
        <v>12520</v>
      </c>
      <c r="C214" s="3">
        <f>SUM(C205:C213)</f>
        <v>12520</v>
      </c>
      <c r="D214" s="3">
        <f>SUM(D205:D213)</f>
        <v>15170</v>
      </c>
    </row>
    <row r="215" spans="1:9" x14ac:dyDescent="0.2">
      <c r="A215" s="3" t="s">
        <v>1770</v>
      </c>
      <c r="B215" s="3">
        <v>-2520</v>
      </c>
      <c r="C215" s="3">
        <v>-2520</v>
      </c>
      <c r="D215" s="3">
        <v>-5170</v>
      </c>
    </row>
    <row r="216" spans="1:9" x14ac:dyDescent="0.2">
      <c r="A216" s="3" t="s">
        <v>1461</v>
      </c>
      <c r="B216" s="21">
        <v>0</v>
      </c>
      <c r="C216" s="21">
        <v>0</v>
      </c>
      <c r="D216" s="21">
        <v>0</v>
      </c>
    </row>
    <row r="217" spans="1:9" x14ac:dyDescent="0.2">
      <c r="A217" s="3" t="s">
        <v>1668</v>
      </c>
      <c r="B217" s="3">
        <f>SUM(B214:B216)</f>
        <v>10000</v>
      </c>
      <c r="C217" s="3">
        <f>SUM(C214:C216)</f>
        <v>10000</v>
      </c>
      <c r="D217" s="3">
        <f>SUM(D214:D216)</f>
        <v>10000</v>
      </c>
    </row>
    <row r="218" spans="1:9" x14ac:dyDescent="0.2">
      <c r="A218" s="3" t="s">
        <v>1667</v>
      </c>
      <c r="B218" s="21">
        <v>350</v>
      </c>
      <c r="C218" s="21">
        <v>425</v>
      </c>
      <c r="D218" s="21">
        <v>0</v>
      </c>
    </row>
    <row r="219" spans="1:9" x14ac:dyDescent="0.2">
      <c r="A219" s="3" t="s">
        <v>477</v>
      </c>
      <c r="B219" s="3">
        <f>SUM(B217:B218)</f>
        <v>10350</v>
      </c>
      <c r="C219" s="3">
        <f>SUM(C217:C218)</f>
        <v>10425</v>
      </c>
      <c r="D219" s="3">
        <f>SUM(D217:D218)</f>
        <v>10000</v>
      </c>
    </row>
    <row r="221" spans="1:9" ht="15" x14ac:dyDescent="0.35">
      <c r="A221" s="55" t="s">
        <v>399</v>
      </c>
      <c r="B221" s="492" t="s">
        <v>2163</v>
      </c>
      <c r="C221" s="492" t="s">
        <v>2290</v>
      </c>
      <c r="D221" s="492" t="s">
        <v>2507</v>
      </c>
      <c r="E221" s="3">
        <v>0</v>
      </c>
      <c r="F221" s="3">
        <v>0</v>
      </c>
      <c r="G221" s="3">
        <v>0</v>
      </c>
      <c r="H221" s="3">
        <v>0</v>
      </c>
      <c r="I221" s="3">
        <v>0</v>
      </c>
    </row>
    <row r="222" spans="1:9" x14ac:dyDescent="0.2">
      <c r="A222" s="491" t="s">
        <v>400</v>
      </c>
      <c r="B222" s="3">
        <v>75</v>
      </c>
      <c r="C222" s="3">
        <v>0</v>
      </c>
      <c r="D222" s="3">
        <v>0</v>
      </c>
    </row>
    <row r="223" spans="1:9" ht="15" x14ac:dyDescent="0.35">
      <c r="A223" s="491" t="s">
        <v>34</v>
      </c>
      <c r="B223" s="14">
        <v>0</v>
      </c>
      <c r="C223" s="14">
        <v>0</v>
      </c>
      <c r="D223" s="14">
        <v>0</v>
      </c>
    </row>
    <row r="224" spans="1:9" x14ac:dyDescent="0.2">
      <c r="B224" s="3">
        <f>SUM(B222:B223)</f>
        <v>75</v>
      </c>
      <c r="C224" s="3">
        <f>SUM(C222:C223)</f>
        <v>0</v>
      </c>
      <c r="D224" s="3">
        <f>SUM(D222:D223)</f>
        <v>0</v>
      </c>
    </row>
    <row r="227" spans="1:9" ht="15" x14ac:dyDescent="0.35">
      <c r="A227" s="55" t="s">
        <v>478</v>
      </c>
      <c r="B227" s="492" t="s">
        <v>2163</v>
      </c>
      <c r="C227" s="492" t="s">
        <v>2290</v>
      </c>
      <c r="D227" s="492" t="s">
        <v>2507</v>
      </c>
      <c r="E227" s="3">
        <v>14171</v>
      </c>
      <c r="F227" s="3">
        <v>38522</v>
      </c>
      <c r="G227" s="3">
        <v>29384</v>
      </c>
      <c r="H227" s="3">
        <v>29384</v>
      </c>
      <c r="I227" s="3">
        <v>29384</v>
      </c>
    </row>
    <row r="228" spans="1:9" x14ac:dyDescent="0.2">
      <c r="A228" s="3" t="s">
        <v>479</v>
      </c>
    </row>
    <row r="229" spans="1:9" x14ac:dyDescent="0.2">
      <c r="A229" s="3" t="s">
        <v>1680</v>
      </c>
      <c r="B229" s="3">
        <v>6000</v>
      </c>
      <c r="C229" s="3">
        <v>6000</v>
      </c>
      <c r="D229" s="3">
        <v>6000</v>
      </c>
    </row>
    <row r="230" spans="1:9" x14ac:dyDescent="0.2">
      <c r="A230" s="3" t="s">
        <v>2579</v>
      </c>
      <c r="B230" s="3">
        <v>1500</v>
      </c>
      <c r="C230" s="3">
        <v>4500</v>
      </c>
      <c r="D230" s="3">
        <v>3000</v>
      </c>
    </row>
    <row r="231" spans="1:9" ht="15" x14ac:dyDescent="0.35">
      <c r="A231" s="3" t="s">
        <v>2580</v>
      </c>
      <c r="B231" s="14">
        <v>1088</v>
      </c>
      <c r="C231" s="14">
        <v>3263</v>
      </c>
      <c r="D231" s="14">
        <v>2175</v>
      </c>
    </row>
    <row r="232" spans="1:9" x14ac:dyDescent="0.2">
      <c r="A232" s="3" t="s">
        <v>480</v>
      </c>
      <c r="B232" s="3">
        <f>SUM(B229:B231)</f>
        <v>8588</v>
      </c>
      <c r="C232" s="3">
        <f>SUM(C229:C231)</f>
        <v>13763</v>
      </c>
      <c r="D232" s="3">
        <f>SUM(D229:D231)</f>
        <v>11175</v>
      </c>
    </row>
    <row r="233" spans="1:9" x14ac:dyDescent="0.2">
      <c r="A233" s="3" t="s">
        <v>481</v>
      </c>
      <c r="B233" s="3">
        <f>ROUND(B229*0.0765,0)</f>
        <v>459</v>
      </c>
      <c r="C233" s="3">
        <f>ROUND(C229*0.0765,0)</f>
        <v>459</v>
      </c>
      <c r="D233" s="3">
        <f>ROUND(D229*0.0765,0)</f>
        <v>459</v>
      </c>
    </row>
    <row r="234" spans="1:9" x14ac:dyDescent="0.2">
      <c r="A234" s="3" t="s">
        <v>2011</v>
      </c>
      <c r="B234" s="3">
        <f>ROUND(B229*0.0016,0)</f>
        <v>10</v>
      </c>
      <c r="C234" s="3">
        <f>ROUND(C229*0.0016,0)</f>
        <v>10</v>
      </c>
      <c r="D234" s="3">
        <f>ROUND(D229*0.0016,0)</f>
        <v>10</v>
      </c>
    </row>
    <row r="235" spans="1:9" x14ac:dyDescent="0.2">
      <c r="A235" s="3" t="s">
        <v>1983</v>
      </c>
      <c r="B235" s="3">
        <f>+B229*0.34%</f>
        <v>20.400000000000002</v>
      </c>
      <c r="C235" s="3">
        <f>+C229*0.34%</f>
        <v>20.400000000000002</v>
      </c>
      <c r="D235" s="3">
        <f>+D229*0.34%</f>
        <v>20.400000000000002</v>
      </c>
    </row>
    <row r="236" spans="1:9" x14ac:dyDescent="0.2">
      <c r="A236" s="3" t="s">
        <v>672</v>
      </c>
      <c r="B236" s="3">
        <v>1400</v>
      </c>
      <c r="C236" s="3">
        <v>4200</v>
      </c>
      <c r="D236" s="3">
        <v>2800</v>
      </c>
    </row>
    <row r="237" spans="1:9" x14ac:dyDescent="0.2">
      <c r="A237" s="3" t="s">
        <v>518</v>
      </c>
      <c r="B237" s="3">
        <v>4000</v>
      </c>
      <c r="C237" s="3">
        <v>12000</v>
      </c>
      <c r="D237" s="3">
        <v>8000</v>
      </c>
    </row>
    <row r="238" spans="1:9" x14ac:dyDescent="0.2">
      <c r="A238" s="3" t="s">
        <v>234</v>
      </c>
      <c r="B238" s="3">
        <v>250</v>
      </c>
      <c r="C238" s="3">
        <v>750</v>
      </c>
      <c r="D238" s="3">
        <v>500</v>
      </c>
    </row>
    <row r="239" spans="1:9" x14ac:dyDescent="0.2">
      <c r="A239" s="3" t="s">
        <v>386</v>
      </c>
      <c r="B239" s="3">
        <v>1200</v>
      </c>
      <c r="C239" s="3">
        <v>3300</v>
      </c>
      <c r="D239" s="3">
        <v>2400</v>
      </c>
    </row>
    <row r="240" spans="1:9" x14ac:dyDescent="0.2">
      <c r="A240" s="3" t="s">
        <v>25</v>
      </c>
      <c r="B240" s="3">
        <v>2400</v>
      </c>
      <c r="C240" s="3">
        <v>2400</v>
      </c>
      <c r="D240" s="3">
        <v>2400</v>
      </c>
    </row>
    <row r="241" spans="1:9" x14ac:dyDescent="0.2">
      <c r="A241" s="3" t="s">
        <v>623</v>
      </c>
      <c r="B241" s="3">
        <v>120</v>
      </c>
      <c r="C241" s="3">
        <v>120</v>
      </c>
      <c r="D241" s="3">
        <v>120</v>
      </c>
    </row>
    <row r="242" spans="1:9" ht="15" x14ac:dyDescent="0.35">
      <c r="A242" s="3" t="s">
        <v>26</v>
      </c>
      <c r="B242" s="14">
        <v>1500</v>
      </c>
      <c r="C242" s="14">
        <v>1500</v>
      </c>
      <c r="D242" s="14">
        <v>1500</v>
      </c>
    </row>
    <row r="243" spans="1:9" x14ac:dyDescent="0.2">
      <c r="A243" s="3" t="s">
        <v>1320</v>
      </c>
      <c r="B243" s="3">
        <f>SUM(B232:B242)</f>
        <v>19947.400000000001</v>
      </c>
      <c r="C243" s="3">
        <f>SUM(C232:C242)</f>
        <v>38522.400000000001</v>
      </c>
      <c r="D243" s="3">
        <f>SUM(D232:D242)</f>
        <v>29384.400000000001</v>
      </c>
    </row>
    <row r="245" spans="1:9" ht="15" x14ac:dyDescent="0.35">
      <c r="A245" s="55" t="s">
        <v>27</v>
      </c>
      <c r="B245" s="492" t="s">
        <v>2163</v>
      </c>
      <c r="C245" s="492" t="s">
        <v>2290</v>
      </c>
      <c r="D245" s="492" t="s">
        <v>2507</v>
      </c>
      <c r="E245" s="3">
        <v>24291</v>
      </c>
      <c r="F245" s="3">
        <v>15000</v>
      </c>
      <c r="G245" s="3">
        <v>20000</v>
      </c>
      <c r="H245" s="3">
        <v>17500</v>
      </c>
      <c r="I245" s="3">
        <v>17500</v>
      </c>
    </row>
    <row r="246" spans="1:9" x14ac:dyDescent="0.2">
      <c r="A246" s="3" t="s">
        <v>719</v>
      </c>
      <c r="B246" s="3">
        <v>20000</v>
      </c>
      <c r="C246" s="3">
        <v>15000</v>
      </c>
      <c r="D246" s="3">
        <v>17500</v>
      </c>
    </row>
    <row r="248" spans="1:9" ht="15" x14ac:dyDescent="0.35">
      <c r="A248" s="55" t="s">
        <v>1249</v>
      </c>
      <c r="B248" s="492" t="s">
        <v>2163</v>
      </c>
      <c r="C248" s="492" t="s">
        <v>2290</v>
      </c>
      <c r="D248" s="492" t="s">
        <v>2507</v>
      </c>
      <c r="E248" s="3">
        <v>18207</v>
      </c>
      <c r="F248" s="3">
        <v>16300</v>
      </c>
      <c r="G248" s="3">
        <v>16300</v>
      </c>
      <c r="H248" s="3">
        <v>16300</v>
      </c>
      <c r="I248" s="3">
        <v>16300</v>
      </c>
    </row>
    <row r="249" spans="1:9" x14ac:dyDescent="0.2">
      <c r="A249" s="3" t="s">
        <v>1250</v>
      </c>
      <c r="B249" s="3">
        <v>5000</v>
      </c>
      <c r="C249" s="3">
        <v>2500</v>
      </c>
      <c r="D249" s="3">
        <v>2500</v>
      </c>
    </row>
    <row r="250" spans="1:9" x14ac:dyDescent="0.2">
      <c r="A250" s="3" t="s">
        <v>1984</v>
      </c>
      <c r="B250" s="3">
        <v>5000</v>
      </c>
      <c r="C250" s="3">
        <v>5000</v>
      </c>
      <c r="D250" s="3">
        <v>5000</v>
      </c>
    </row>
    <row r="251" spans="1:9" x14ac:dyDescent="0.2">
      <c r="A251" s="3" t="s">
        <v>151</v>
      </c>
      <c r="B251" s="3">
        <v>8500</v>
      </c>
      <c r="C251" s="3">
        <v>8500</v>
      </c>
      <c r="D251" s="3">
        <v>8500</v>
      </c>
    </row>
    <row r="252" spans="1:9" ht="15" x14ac:dyDescent="0.35">
      <c r="A252" s="3" t="s">
        <v>343</v>
      </c>
      <c r="B252" s="14">
        <v>300</v>
      </c>
      <c r="C252" s="14">
        <v>300</v>
      </c>
      <c r="D252" s="14">
        <v>300</v>
      </c>
    </row>
    <row r="253" spans="1:9" x14ac:dyDescent="0.2">
      <c r="A253" s="3" t="s">
        <v>1320</v>
      </c>
      <c r="B253" s="3">
        <f>SUM(B249:B252)</f>
        <v>18800</v>
      </c>
      <c r="C253" s="3">
        <f>SUM(C249:C252)</f>
        <v>16300</v>
      </c>
      <c r="D253" s="3">
        <f>SUM(D249:D252)</f>
        <v>16300</v>
      </c>
    </row>
    <row r="255" spans="1:9" ht="15" x14ac:dyDescent="0.35">
      <c r="A255" s="55" t="s">
        <v>1546</v>
      </c>
      <c r="B255" s="492" t="s">
        <v>2163</v>
      </c>
      <c r="C255" s="492" t="s">
        <v>2290</v>
      </c>
      <c r="D255" s="492" t="s">
        <v>2507</v>
      </c>
      <c r="E255" s="3">
        <v>0</v>
      </c>
      <c r="F255" s="3">
        <v>1</v>
      </c>
      <c r="G255" s="3">
        <v>1</v>
      </c>
      <c r="H255" s="3">
        <v>1</v>
      </c>
      <c r="I255" s="3">
        <v>1</v>
      </c>
    </row>
    <row r="256" spans="1:9" x14ac:dyDescent="0.2">
      <c r="A256" s="3" t="s">
        <v>702</v>
      </c>
      <c r="B256" s="3">
        <v>1</v>
      </c>
      <c r="C256" s="3">
        <v>1</v>
      </c>
      <c r="D256" s="3">
        <v>1</v>
      </c>
    </row>
    <row r="258" spans="1:10" ht="15" x14ac:dyDescent="0.35">
      <c r="A258" s="55" t="s">
        <v>2004</v>
      </c>
      <c r="B258" s="492"/>
      <c r="C258" s="492"/>
      <c r="D258" s="492"/>
      <c r="E258" s="3">
        <v>0</v>
      </c>
      <c r="F258" s="3">
        <v>0</v>
      </c>
      <c r="G258" s="3">
        <v>0</v>
      </c>
      <c r="H258" s="3">
        <v>0</v>
      </c>
      <c r="I258" s="3">
        <v>0</v>
      </c>
    </row>
    <row r="259" spans="1:10" x14ac:dyDescent="0.2">
      <c r="A259" s="3" t="s">
        <v>1276</v>
      </c>
    </row>
    <row r="262" spans="1:10" ht="15" x14ac:dyDescent="0.35">
      <c r="A262" s="55" t="s">
        <v>881</v>
      </c>
      <c r="B262" s="492" t="s">
        <v>2163</v>
      </c>
      <c r="C262" s="492" t="s">
        <v>2290</v>
      </c>
      <c r="D262" s="492" t="s">
        <v>2507</v>
      </c>
      <c r="E262" s="3">
        <v>41300</v>
      </c>
      <c r="F262" s="3">
        <v>3500</v>
      </c>
      <c r="G262" s="3">
        <v>3500</v>
      </c>
      <c r="H262" s="3">
        <v>3500</v>
      </c>
      <c r="I262" s="3">
        <v>3500</v>
      </c>
    </row>
    <row r="263" spans="1:10" ht="15" x14ac:dyDescent="0.35">
      <c r="A263" s="3" t="s">
        <v>1490</v>
      </c>
      <c r="B263" s="14">
        <v>3500</v>
      </c>
      <c r="C263" s="14">
        <v>3500</v>
      </c>
      <c r="D263" s="14">
        <v>3500</v>
      </c>
    </row>
    <row r="264" spans="1:10" x14ac:dyDescent="0.2">
      <c r="A264" s="3" t="s">
        <v>1320</v>
      </c>
      <c r="B264" s="3">
        <f>SUM(B263:B263)</f>
        <v>3500</v>
      </c>
      <c r="C264" s="3">
        <f>SUM(C263:C263)</f>
        <v>3500</v>
      </c>
      <c r="D264" s="3">
        <f>SUM(D263:D263)</f>
        <v>3500</v>
      </c>
    </row>
    <row r="266" spans="1:10" ht="15" x14ac:dyDescent="0.35">
      <c r="A266" s="55" t="s">
        <v>1497</v>
      </c>
      <c r="B266" s="492" t="s">
        <v>2163</v>
      </c>
      <c r="C266" s="492" t="s">
        <v>2290</v>
      </c>
      <c r="D266" s="492" t="s">
        <v>2507</v>
      </c>
      <c r="E266" s="3">
        <v>55300</v>
      </c>
      <c r="F266" s="3">
        <v>55300</v>
      </c>
      <c r="G266" s="3">
        <v>55300</v>
      </c>
      <c r="H266" s="3">
        <v>55300</v>
      </c>
      <c r="I266" s="3">
        <v>55300</v>
      </c>
    </row>
    <row r="267" spans="1:10" ht="15" x14ac:dyDescent="0.35">
      <c r="A267" s="3" t="s">
        <v>603</v>
      </c>
      <c r="B267" s="22"/>
      <c r="C267" s="22"/>
      <c r="D267" s="22"/>
      <c r="E267" s="14"/>
      <c r="F267" s="14"/>
      <c r="G267" s="14"/>
      <c r="H267" s="14"/>
      <c r="I267" s="14"/>
      <c r="J267" s="14"/>
    </row>
    <row r="268" spans="1:10" x14ac:dyDescent="0.2">
      <c r="A268" s="3" t="s">
        <v>1103</v>
      </c>
      <c r="B268" s="11">
        <v>300</v>
      </c>
      <c r="C268" s="11">
        <v>300</v>
      </c>
      <c r="D268" s="11">
        <v>300</v>
      </c>
      <c r="E268" s="11"/>
      <c r="F268" s="11"/>
      <c r="G268" s="11"/>
      <c r="H268" s="11"/>
      <c r="I268" s="11"/>
      <c r="J268" s="11"/>
    </row>
    <row r="269" spans="1:10" x14ac:dyDescent="0.2">
      <c r="A269" s="3" t="s">
        <v>1280</v>
      </c>
      <c r="B269" s="11">
        <v>0</v>
      </c>
      <c r="C269" s="11">
        <v>0</v>
      </c>
      <c r="D269" s="11">
        <v>0</v>
      </c>
      <c r="E269" s="11"/>
      <c r="F269" s="11"/>
      <c r="G269" s="11"/>
      <c r="H269" s="11"/>
      <c r="I269" s="11"/>
      <c r="J269" s="11"/>
    </row>
    <row r="270" spans="1:10" x14ac:dyDescent="0.2">
      <c r="A270" s="3" t="s">
        <v>640</v>
      </c>
      <c r="B270" s="22">
        <v>0</v>
      </c>
      <c r="C270" s="22">
        <v>0</v>
      </c>
      <c r="D270" s="22">
        <v>0</v>
      </c>
      <c r="E270" s="22"/>
      <c r="F270" s="22"/>
      <c r="G270" s="22"/>
      <c r="H270" s="22"/>
      <c r="I270" s="22"/>
      <c r="J270" s="22"/>
    </row>
    <row r="271" spans="1:10" x14ac:dyDescent="0.2">
      <c r="A271" s="3" t="s">
        <v>269</v>
      </c>
      <c r="B271" s="11">
        <f>SUM(B268:B270)</f>
        <v>300</v>
      </c>
      <c r="C271" s="11">
        <f>SUM(C268:C270)</f>
        <v>300</v>
      </c>
      <c r="D271" s="11">
        <f>SUM(D268:D270)</f>
        <v>300</v>
      </c>
      <c r="E271" s="11"/>
      <c r="F271" s="11"/>
      <c r="G271" s="11"/>
      <c r="H271" s="11"/>
      <c r="I271" s="11"/>
      <c r="J271" s="11"/>
    </row>
    <row r="272" spans="1:10" x14ac:dyDescent="0.2">
      <c r="A272" s="3" t="s">
        <v>351</v>
      </c>
      <c r="B272" s="3">
        <v>35000</v>
      </c>
      <c r="C272" s="3">
        <v>35000</v>
      </c>
      <c r="D272" s="3">
        <v>35000</v>
      </c>
    </row>
    <row r="273" spans="1:10" x14ac:dyDescent="0.2">
      <c r="A273" s="3" t="s">
        <v>1985</v>
      </c>
      <c r="B273" s="3">
        <v>10000</v>
      </c>
      <c r="C273" s="3">
        <v>10000</v>
      </c>
      <c r="D273" s="3">
        <v>10000</v>
      </c>
    </row>
    <row r="274" spans="1:10" ht="15" x14ac:dyDescent="0.35">
      <c r="A274" s="3" t="s">
        <v>352</v>
      </c>
      <c r="B274" s="14">
        <v>10000</v>
      </c>
      <c r="C274" s="14">
        <v>10000</v>
      </c>
      <c r="D274" s="14">
        <v>10000</v>
      </c>
    </row>
    <row r="275" spans="1:10" x14ac:dyDescent="0.2">
      <c r="A275" s="3" t="s">
        <v>1320</v>
      </c>
      <c r="B275" s="3">
        <f>SUM(B271:B274)</f>
        <v>55300</v>
      </c>
      <c r="C275" s="3">
        <f t="shared" ref="C275:D275" si="3">SUM(C271:C274)</f>
        <v>55300</v>
      </c>
      <c r="D275" s="3">
        <f t="shared" si="3"/>
        <v>55300</v>
      </c>
    </row>
    <row r="277" spans="1:10" x14ac:dyDescent="0.2">
      <c r="A277" s="19" t="s">
        <v>418</v>
      </c>
    </row>
    <row r="278" spans="1:10" x14ac:dyDescent="0.2">
      <c r="A278" s="3" t="s">
        <v>1405</v>
      </c>
      <c r="E278" s="3">
        <f t="shared" ref="E278:J278" si="4">SUM(E6:E271)</f>
        <v>2244226</v>
      </c>
      <c r="F278" s="3">
        <f t="shared" si="4"/>
        <v>2224461</v>
      </c>
      <c r="G278" s="3">
        <f t="shared" si="4"/>
        <v>2279506</v>
      </c>
      <c r="H278" s="3">
        <f>SUM(H6:H271)</f>
        <v>2277006</v>
      </c>
      <c r="I278" s="3">
        <f t="shared" si="4"/>
        <v>2258294</v>
      </c>
      <c r="J278" s="3">
        <f t="shared" si="4"/>
        <v>0</v>
      </c>
    </row>
    <row r="280" spans="1:10" x14ac:dyDescent="0.2">
      <c r="A280" s="3" t="s">
        <v>628</v>
      </c>
      <c r="E280" s="3">
        <f>SUM(E6:E94)</f>
        <v>1423954</v>
      </c>
      <c r="F280" s="3">
        <f>SUM(F6:F94)</f>
        <v>1540555</v>
      </c>
      <c r="G280" s="3">
        <f t="shared" ref="G280" si="5">SUM(G6:G94)</f>
        <v>1474075</v>
      </c>
      <c r="H280" s="3">
        <f>SUM(H6:H94)</f>
        <v>1474075</v>
      </c>
      <c r="I280" s="3">
        <f>SUM(I6:I99)</f>
        <v>1511637</v>
      </c>
      <c r="J280" s="3">
        <f>SUM(J6:J94)</f>
        <v>0</v>
      </c>
    </row>
    <row r="281" spans="1:10" x14ac:dyDescent="0.2">
      <c r="A281" s="3" t="s">
        <v>1024</v>
      </c>
      <c r="E281" s="3">
        <f t="shared" ref="E281:J281" si="6">SUM(E100:E248)</f>
        <v>723672</v>
      </c>
      <c r="F281" s="3">
        <f t="shared" si="6"/>
        <v>625105</v>
      </c>
      <c r="G281" s="3">
        <f t="shared" ref="G281:H281" si="7">SUM(G100:G248)</f>
        <v>746630</v>
      </c>
      <c r="H281" s="3">
        <f t="shared" si="7"/>
        <v>744130</v>
      </c>
      <c r="I281" s="3">
        <f t="shared" si="6"/>
        <v>687856</v>
      </c>
      <c r="J281" s="3">
        <f t="shared" si="6"/>
        <v>0</v>
      </c>
    </row>
    <row r="282" spans="1:10" ht="15" x14ac:dyDescent="0.35">
      <c r="A282" s="3" t="s">
        <v>1025</v>
      </c>
      <c r="E282" s="14">
        <f t="shared" ref="E282:J282" si="8">SUM(E255:E271)</f>
        <v>96600</v>
      </c>
      <c r="F282" s="14">
        <f t="shared" si="8"/>
        <v>58801</v>
      </c>
      <c r="G282" s="14">
        <f t="shared" ref="G282:H282" si="9">SUM(G255:G271)</f>
        <v>58801</v>
      </c>
      <c r="H282" s="14">
        <f t="shared" si="9"/>
        <v>58801</v>
      </c>
      <c r="I282" s="14">
        <f>SUM(I255:I271)</f>
        <v>58801</v>
      </c>
      <c r="J282" s="14">
        <f t="shared" si="8"/>
        <v>0</v>
      </c>
    </row>
    <row r="283" spans="1:10" x14ac:dyDescent="0.2">
      <c r="A283" s="3" t="s">
        <v>1320</v>
      </c>
      <c r="E283" s="3">
        <f t="shared" ref="E283:J283" si="10">SUM(E280:E282)</f>
        <v>2244226</v>
      </c>
      <c r="F283" s="3">
        <f t="shared" si="10"/>
        <v>2224461</v>
      </c>
      <c r="G283" s="3">
        <f t="shared" ref="G283:H283" si="11">SUM(G280:G282)</f>
        <v>2279506</v>
      </c>
      <c r="H283" s="3">
        <f t="shared" si="11"/>
        <v>2277006</v>
      </c>
      <c r="I283" s="3">
        <f>SUM(I280:I282)</f>
        <v>2258294</v>
      </c>
      <c r="J283" s="3">
        <f t="shared" si="10"/>
        <v>0</v>
      </c>
    </row>
    <row r="286" spans="1:10" x14ac:dyDescent="0.2">
      <c r="G286" s="3">
        <f>+G283-F283</f>
        <v>55045</v>
      </c>
      <c r="J286" s="3">
        <f>37562-56274</f>
        <v>-18712</v>
      </c>
    </row>
    <row r="287" spans="1:10" x14ac:dyDescent="0.2">
      <c r="I287" s="3">
        <f>I283-H283</f>
        <v>-18712</v>
      </c>
      <c r="J287" s="3">
        <f>J283-H283</f>
        <v>-2277006</v>
      </c>
    </row>
    <row r="288" spans="1:10" x14ac:dyDescent="0.2">
      <c r="J288" s="3">
        <f>J286-J287</f>
        <v>2258294</v>
      </c>
    </row>
  </sheetData>
  <mergeCells count="1">
    <mergeCell ref="A1:J1"/>
  </mergeCells>
  <phoneticPr fontId="0" type="noConversion"/>
  <printOptions gridLines="1"/>
  <pageMargins left="0.75" right="0.16" top="0.51" bottom="0.22" header="0.5" footer="0.24"/>
  <pageSetup scale="85" orientation="landscape" r:id="rId1"/>
  <headerFooter alignWithMargins="0"/>
  <rowBreaks count="2" manualBreakCount="2">
    <brk id="115" max="9" man="1"/>
    <brk id="202"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55</vt:i4>
      </vt:variant>
    </vt:vector>
  </HeadingPairs>
  <TitlesOfParts>
    <vt:vector size="89" baseType="lpstr">
      <vt:lpstr>TAX RATE (all)</vt:lpstr>
      <vt:lpstr>TAX RATE (op budget)</vt:lpstr>
      <vt:lpstr>TAX RATE (crf)</vt:lpstr>
      <vt:lpstr>SUMMARY BY FUND</vt:lpstr>
      <vt:lpstr>CRF</vt:lpstr>
      <vt:lpstr>crf funding</vt:lpstr>
      <vt:lpstr>revenue  (2)</vt:lpstr>
      <vt:lpstr>revenue </vt: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Sheet1</vt:lpstr>
      <vt:lpstr>Charts</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CRF!Print_Area</vt:lpstr>
      <vt:lpstr>'-other SPECIAL REVENUE FUNDING'!Print_Area</vt:lpstr>
      <vt:lpstr>'revenue '!Print_Area</vt:lpstr>
      <vt:lpstr>'revenue  (2)'!Print_Area</vt:lpstr>
      <vt:lpstr>'Revolving Fund'!Print_Area</vt:lpstr>
      <vt:lpstr>'SUMMARY BY FUND'!Print_Area</vt:lpstr>
      <vt:lpstr>'TAX RATE (all)'!Print_Area</vt:lpstr>
      <vt:lpstr>'TAX RATE (crf)'!Print_Area</vt:lpstr>
      <vt:lpstr>'TAX RATE (op budget)'!Print_Area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lpstr>'Revolving Fund'!Print_Titles</vt:lpstr>
      <vt:lpstr>Sheet1!Print_Titles</vt:lpstr>
    </vt:vector>
  </TitlesOfParts>
  <Company>Town of Merrimack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Thomas Boland</cp:lastModifiedBy>
  <cp:lastPrinted>2022-12-12T16:16:35Z</cp:lastPrinted>
  <dcterms:created xsi:type="dcterms:W3CDTF">2001-06-20T19:26:14Z</dcterms:created>
  <dcterms:modified xsi:type="dcterms:W3CDTF">2023-02-02T21:01:57Z</dcterms:modified>
</cp:coreProperties>
</file>